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4.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6.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8.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9.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09"/>
  <workbookPr codeName="ThisWorkbook" defaultThemeVersion="166925"/>
  <mc:AlternateContent xmlns:mc="http://schemas.openxmlformats.org/markup-compatibility/2006">
    <mc:Choice Requires="x15">
      <x15ac:absPath xmlns:x15ac="http://schemas.microsoft.com/office/spreadsheetml/2010/11/ac" url="/Users/kristibergdahl/Downloads/"/>
    </mc:Choice>
  </mc:AlternateContent>
  <xr:revisionPtr revIDLastSave="0" documentId="13_ncr:1_{27F18E6B-7CE4-8649-AF7C-3696924EDB72}" xr6:coauthVersionLast="47" xr6:coauthVersionMax="47" xr10:uidLastSave="{00000000-0000-0000-0000-000000000000}"/>
  <workbookProtection workbookAlgorithmName="SHA-512" workbookHashValue="XcUsMzz/MisMdz43TirtTuyyadi/CB/lqeM7kPr5CV6t0LXbdpzecOMMhZ7mqiTmSVyQax8C1Qcey3z7F9tnqQ==" workbookSaltValue="JCWbOtHEuHO9J+EmNkhDjw==" workbookSpinCount="100000" lockStructure="1"/>
  <bookViews>
    <workbookView xWindow="100" yWindow="500" windowWidth="27200" windowHeight="15320" tabRatio="878" firstSheet="8" activeTab="12" xr2:uid="{00000000-000D-0000-FFFF-FFFF00000000}"/>
  </bookViews>
  <sheets>
    <sheet name="Student Details I" sheetId="8" r:id="rId1"/>
    <sheet name="Student Details II" sheetId="19" r:id="rId2"/>
    <sheet name="Business Setup" sheetId="9" r:id="rId3"/>
    <sheet name="Business Decisions" sheetId="11" r:id="rId4"/>
    <sheet name="Capital Investments" sheetId="21" r:id="rId5"/>
    <sheet name="Financing" sheetId="15" r:id="rId6"/>
    <sheet name="2019 Preliminary Cash Budget" sheetId="2" r:id="rId7"/>
    <sheet name="Diversification" sheetId="17" r:id="rId8"/>
    <sheet name="2019 Full Year Cash Budget" sheetId="16" r:id="rId9"/>
    <sheet name="2019 Inventory Reports" sheetId="18" r:id="rId10"/>
    <sheet name="2019 Income Statement" sheetId="3" r:id="rId11"/>
    <sheet name="2019 Balance Sheet" sheetId="13" r:id="rId12"/>
    <sheet name="2019 Ratio Analysis" sheetId="4" r:id="rId13"/>
    <sheet name="(HIDE) Data Validation" sheetId="10" state="hidden"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0" i="4" l="1"/>
  <c r="H79" i="10"/>
  <c r="I79" i="10" s="1"/>
  <c r="H78" i="10"/>
  <c r="I78" i="10" s="1"/>
  <c r="H77" i="10"/>
  <c r="I77" i="10" s="1"/>
  <c r="H75" i="10"/>
  <c r="I75" i="10" s="1"/>
  <c r="H74" i="10"/>
  <c r="I74" i="10" s="1"/>
  <c r="H73" i="10"/>
  <c r="I73" i="10" s="1"/>
  <c r="H72" i="10"/>
  <c r="I72" i="10" s="1"/>
  <c r="F67" i="10"/>
  <c r="F74" i="10" s="1"/>
  <c r="E66" i="10"/>
  <c r="H94" i="10" l="1"/>
  <c r="G94" i="10"/>
  <c r="F94" i="10"/>
  <c r="E94" i="10"/>
  <c r="D94" i="10"/>
  <c r="C94" i="10"/>
  <c r="B94" i="10"/>
  <c r="AB10" i="10"/>
  <c r="E89" i="10"/>
  <c r="E91" i="10"/>
  <c r="E88" i="10"/>
  <c r="C90" i="10"/>
  <c r="D90" i="10"/>
  <c r="E90" i="10" s="1"/>
  <c r="B90" i="10"/>
  <c r="AC10" i="10" l="1"/>
  <c r="B25" i="18"/>
  <c r="AD10" i="10" l="1"/>
  <c r="AM10" i="10"/>
  <c r="AX10" i="10" s="1"/>
  <c r="AN10" i="10" l="1"/>
  <c r="AY10" i="10" s="1"/>
  <c r="AE10" i="10"/>
  <c r="J4" i="10"/>
  <c r="I2" i="10"/>
  <c r="AF10" i="10" l="1"/>
  <c r="AP10" i="10" s="1"/>
  <c r="BF6" i="10" s="1"/>
  <c r="BG6" i="10" s="1"/>
  <c r="BH6" i="10" s="1"/>
  <c r="BI6" i="10" s="1"/>
  <c r="BJ6" i="10" s="1"/>
  <c r="BK6" i="10" s="1"/>
  <c r="BL6" i="10" s="1"/>
  <c r="AO10" i="10"/>
  <c r="AZ10" i="10" s="1"/>
  <c r="J50" i="10"/>
  <c r="I4" i="10"/>
  <c r="AQ10" i="10" l="1"/>
  <c r="BA10" i="10"/>
  <c r="M31" i="11"/>
  <c r="J31" i="11"/>
  <c r="G31" i="11"/>
  <c r="D35" i="11"/>
  <c r="G35" i="11"/>
  <c r="J35" i="11"/>
  <c r="M35" i="11"/>
  <c r="D31" i="11"/>
  <c r="E19" i="17" l="1"/>
  <c r="E7" i="17"/>
  <c r="E20" i="17"/>
  <c r="E18" i="17"/>
  <c r="E6" i="17"/>
  <c r="E14" i="17"/>
  <c r="E8" i="17"/>
  <c r="B2" i="17"/>
  <c r="H10" i="11" l="1"/>
  <c r="H5" i="11"/>
  <c r="E3" i="10"/>
  <c r="B81" i="10" s="1"/>
  <c r="F3" i="10"/>
  <c r="B82" i="10" s="1"/>
  <c r="B83" i="10" l="1"/>
  <c r="F63" i="10"/>
  <c r="H59" i="10" l="1"/>
  <c r="D72" i="10"/>
  <c r="F65" i="10"/>
  <c r="AK10" i="10"/>
  <c r="AV10" i="10" s="1"/>
  <c r="AL10" i="10"/>
  <c r="AW10" i="10" s="1"/>
  <c r="AK24" i="10"/>
  <c r="AL24" i="10"/>
  <c r="AK50" i="10"/>
  <c r="AL50" i="10"/>
  <c r="H63" i="10" l="1"/>
  <c r="D67" i="10"/>
  <c r="F59" i="10"/>
  <c r="C73" i="10" s="1"/>
  <c r="F61" i="10"/>
  <c r="F62" i="10"/>
  <c r="F58" i="10"/>
  <c r="I46" i="10"/>
  <c r="B74" i="10" l="1"/>
  <c r="C74" i="10"/>
  <c r="B73" i="10"/>
  <c r="B17" i="13"/>
  <c r="B16" i="13"/>
  <c r="J53" i="10"/>
  <c r="J49" i="10"/>
  <c r="J51" i="10"/>
  <c r="J52" i="10"/>
  <c r="J48" i="10"/>
  <c r="I42" i="10"/>
  <c r="I43" i="10"/>
  <c r="I41" i="10"/>
  <c r="H34" i="10"/>
  <c r="H35" i="10"/>
  <c r="H37" i="10"/>
  <c r="H33" i="10"/>
  <c r="G44" i="10"/>
  <c r="H44" i="10"/>
  <c r="F44" i="10"/>
  <c r="F37" i="10"/>
  <c r="F36" i="10"/>
  <c r="D8" i="21" s="1"/>
  <c r="G36" i="10"/>
  <c r="B1" i="2"/>
  <c r="D74" i="10" l="1"/>
  <c r="AQ33" i="10"/>
  <c r="BE33" i="10"/>
  <c r="H36" i="10"/>
  <c r="I44" i="10"/>
  <c r="D73" i="10"/>
  <c r="B26" i="2"/>
  <c r="B25" i="3"/>
  <c r="B29" i="16"/>
  <c r="O30" i="18"/>
  <c r="C10" i="16"/>
  <c r="C11" i="16"/>
  <c r="D11" i="16"/>
  <c r="E11" i="16"/>
  <c r="F11" i="16"/>
  <c r="G11" i="16"/>
  <c r="H11" i="16"/>
  <c r="C12" i="16"/>
  <c r="D12" i="16"/>
  <c r="E12" i="16"/>
  <c r="F12" i="16"/>
  <c r="G12" i="16"/>
  <c r="H12" i="16"/>
  <c r="I12" i="16"/>
  <c r="C10" i="2"/>
  <c r="B2" i="13" l="1"/>
  <c r="B2" i="3"/>
  <c r="B13" i="18"/>
  <c r="B2" i="18"/>
  <c r="B1" i="16"/>
  <c r="C26" i="15"/>
  <c r="I18" i="18"/>
  <c r="O7" i="18"/>
  <c r="I19" i="2"/>
  <c r="I21" i="2"/>
  <c r="C21" i="16"/>
  <c r="C18" i="2"/>
  <c r="B28" i="17" l="1"/>
  <c r="D42" i="10"/>
  <c r="B76" i="10" s="1"/>
  <c r="D76" i="10" s="1"/>
  <c r="B45" i="10"/>
  <c r="B44" i="10"/>
  <c r="B43" i="10"/>
  <c r="B42" i="10"/>
  <c r="B41" i="10"/>
  <c r="F30" i="10"/>
  <c r="G30" i="10"/>
  <c r="H30" i="10"/>
  <c r="I30" i="10"/>
  <c r="O24" i="16"/>
  <c r="D20" i="3" s="1"/>
  <c r="O22" i="16"/>
  <c r="D18" i="3" s="1"/>
  <c r="B24" i="17" l="1"/>
  <c r="B18" i="16"/>
  <c r="F23" i="18"/>
  <c r="B11" i="16"/>
  <c r="B12" i="16"/>
  <c r="B14" i="18"/>
  <c r="D43" i="10"/>
  <c r="D44" i="10" s="1"/>
  <c r="B26" i="17"/>
  <c r="G12" i="10"/>
  <c r="B12" i="10"/>
  <c r="H11" i="10"/>
  <c r="G23" i="9" s="1"/>
  <c r="I11" i="10"/>
  <c r="G26" i="9" s="1"/>
  <c r="G11" i="10"/>
  <c r="G20" i="9" s="1"/>
  <c r="B15" i="10"/>
  <c r="C27" i="10"/>
  <c r="B28" i="10"/>
  <c r="C14" i="15" s="1"/>
  <c r="B16" i="15"/>
  <c r="B75" i="10" l="1"/>
  <c r="D75" i="10" s="1"/>
  <c r="D45" i="10"/>
  <c r="C16" i="16"/>
  <c r="D15" i="3" s="1"/>
  <c r="B17" i="10"/>
  <c r="M20" i="16"/>
  <c r="E20" i="16"/>
  <c r="L20" i="16"/>
  <c r="D20" i="16"/>
  <c r="K20" i="16"/>
  <c r="J20" i="16"/>
  <c r="I20" i="16"/>
  <c r="H20" i="16"/>
  <c r="G20" i="16"/>
  <c r="N20" i="16"/>
  <c r="F20" i="16"/>
  <c r="C20" i="16"/>
  <c r="L28" i="16"/>
  <c r="D28" i="16"/>
  <c r="K28" i="16"/>
  <c r="C28" i="16"/>
  <c r="J28" i="16"/>
  <c r="I28" i="16"/>
  <c r="H28" i="16"/>
  <c r="E28" i="16"/>
  <c r="G28" i="16"/>
  <c r="N28" i="16"/>
  <c r="F28" i="16"/>
  <c r="M28" i="16"/>
  <c r="C28" i="10"/>
  <c r="B29" i="10" s="1"/>
  <c r="E75" i="10" l="1"/>
  <c r="G26" i="17"/>
  <c r="O16" i="16"/>
  <c r="O20" i="16"/>
  <c r="D16" i="3" s="1"/>
  <c r="O28" i="16"/>
  <c r="D24" i="3" s="1"/>
  <c r="B22" i="10"/>
  <c r="C22" i="10" s="1"/>
  <c r="G22" i="15" s="1"/>
  <c r="C19" i="10"/>
  <c r="C20" i="10"/>
  <c r="E81" i="10" s="1"/>
  <c r="C18" i="10"/>
  <c r="F29" i="10"/>
  <c r="G29" i="10"/>
  <c r="H29" i="10"/>
  <c r="I29" i="10"/>
  <c r="H24" i="10"/>
  <c r="H25" i="10"/>
  <c r="H26" i="10"/>
  <c r="H23" i="10"/>
  <c r="M29" i="11"/>
  <c r="J29" i="11"/>
  <c r="G29" i="11"/>
  <c r="D29" i="11"/>
  <c r="G14" i="10"/>
  <c r="G13" i="10"/>
  <c r="F4" i="10"/>
  <c r="E25" i="2"/>
  <c r="B14" i="10"/>
  <c r="B13" i="10"/>
  <c r="C14" i="2"/>
  <c r="I14" i="2" s="1"/>
  <c r="N7" i="10"/>
  <c r="O7" i="10"/>
  <c r="P7" i="10"/>
  <c r="Q7" i="10"/>
  <c r="R7" i="10"/>
  <c r="S7" i="10"/>
  <c r="T7" i="10"/>
  <c r="U7" i="10"/>
  <c r="V7" i="10"/>
  <c r="W7" i="10"/>
  <c r="X7" i="10"/>
  <c r="M7" i="10"/>
  <c r="C7" i="16" l="1"/>
  <c r="O7" i="16" s="1"/>
  <c r="E82" i="10"/>
  <c r="E83" i="10"/>
  <c r="C8" i="16"/>
  <c r="O8" i="16" s="1"/>
  <c r="G6" i="10"/>
  <c r="D60" i="10"/>
  <c r="C60" i="10"/>
  <c r="B69" i="10"/>
  <c r="E60" i="10"/>
  <c r="C34" i="16"/>
  <c r="O34" i="16" s="1"/>
  <c r="O4" i="16" s="1"/>
  <c r="G20" i="2"/>
  <c r="K23" i="16"/>
  <c r="C23" i="16"/>
  <c r="J23" i="16"/>
  <c r="F23" i="16"/>
  <c r="I23" i="16"/>
  <c r="H23" i="16"/>
  <c r="E23" i="16"/>
  <c r="G23" i="16"/>
  <c r="N23" i="16"/>
  <c r="M23" i="16"/>
  <c r="L23" i="16"/>
  <c r="D23" i="16"/>
  <c r="C8" i="2"/>
  <c r="I8" i="2" s="1"/>
  <c r="C35" i="13"/>
  <c r="B7" i="15"/>
  <c r="C34" i="13"/>
  <c r="C31" i="2"/>
  <c r="I31" i="2" s="1"/>
  <c r="I34" i="2" s="1"/>
  <c r="G21" i="15"/>
  <c r="B30" i="10"/>
  <c r="C7" i="2"/>
  <c r="I7" i="2" s="1"/>
  <c r="B21" i="15"/>
  <c r="B12" i="15"/>
  <c r="B23" i="10"/>
  <c r="B24" i="10"/>
  <c r="H17" i="2"/>
  <c r="F20" i="2"/>
  <c r="H20" i="2"/>
  <c r="E20" i="2"/>
  <c r="D20" i="2"/>
  <c r="C20" i="2"/>
  <c r="D25" i="2"/>
  <c r="H25" i="2"/>
  <c r="G25" i="2"/>
  <c r="C25" i="2"/>
  <c r="F25" i="2"/>
  <c r="D17" i="2"/>
  <c r="F17" i="2"/>
  <c r="C17" i="2"/>
  <c r="G17" i="2"/>
  <c r="E17" i="2"/>
  <c r="A6" i="10"/>
  <c r="B6" i="10"/>
  <c r="B22" i="11" s="1"/>
  <c r="J5" i="10"/>
  <c r="F20" i="11" s="1"/>
  <c r="B20" i="11"/>
  <c r="B5" i="11"/>
  <c r="B10" i="11"/>
  <c r="F60" i="10" l="1"/>
  <c r="C69" i="10" s="1"/>
  <c r="D69" i="10" s="1"/>
  <c r="G12" i="15"/>
  <c r="G16" i="15"/>
  <c r="G15" i="9"/>
  <c r="G9" i="9"/>
  <c r="G12" i="9"/>
  <c r="B2" i="11"/>
  <c r="M33" i="11"/>
  <c r="J33" i="11"/>
  <c r="G33" i="11"/>
  <c r="D33" i="11"/>
  <c r="D19" i="21"/>
  <c r="D17" i="21"/>
  <c r="D21" i="21"/>
  <c r="B7" i="11"/>
  <c r="D22" i="3"/>
  <c r="L12" i="18"/>
  <c r="B33" i="10"/>
  <c r="G17" i="15" s="1"/>
  <c r="B17" i="16"/>
  <c r="I5" i="10"/>
  <c r="E15" i="11" s="1"/>
  <c r="I17" i="2"/>
  <c r="B9" i="16"/>
  <c r="B10" i="16"/>
  <c r="B3" i="18"/>
  <c r="I20" i="2"/>
  <c r="I25" i="2"/>
  <c r="O23" i="16"/>
  <c r="D19" i="3" s="1"/>
  <c r="N26" i="16"/>
  <c r="M26" i="16"/>
  <c r="L26" i="16"/>
  <c r="K26" i="16"/>
  <c r="C26" i="16"/>
  <c r="J26" i="16"/>
  <c r="I26" i="16"/>
  <c r="D26" i="16"/>
  <c r="E26" i="16"/>
  <c r="H26" i="16"/>
  <c r="G26" i="16"/>
  <c r="F26" i="16"/>
  <c r="H23" i="2"/>
  <c r="D30" i="10"/>
  <c r="D32" i="10" s="1"/>
  <c r="C23" i="2"/>
  <c r="F23" i="2"/>
  <c r="G23" i="2"/>
  <c r="D23" i="2"/>
  <c r="E23" i="2"/>
  <c r="G4" i="10"/>
  <c r="J17" i="10" s="1"/>
  <c r="I23" i="2" l="1"/>
  <c r="O26" i="16"/>
  <c r="B32" i="10"/>
  <c r="C27" i="13" s="1"/>
  <c r="E28" i="13" s="1"/>
  <c r="B31" i="10"/>
  <c r="J12" i="10"/>
  <c r="J14" i="10" s="1"/>
  <c r="M11" i="10" s="1"/>
  <c r="J19" i="10" l="1"/>
  <c r="N11" i="10" s="1"/>
  <c r="O11" i="10" s="1"/>
  <c r="P11" i="10" s="1"/>
  <c r="Q11" i="10" s="1"/>
  <c r="R11" i="10" s="1"/>
  <c r="S11" i="10" s="1"/>
  <c r="T11" i="10" s="1"/>
  <c r="U11" i="10" s="1"/>
  <c r="V12" i="10" l="1"/>
  <c r="V11" i="10"/>
  <c r="W11" i="10" s="1"/>
  <c r="X11" i="10" s="1"/>
  <c r="Y11" i="10" s="1"/>
  <c r="M13" i="10"/>
  <c r="W12" i="10" l="1"/>
  <c r="X12" i="10"/>
  <c r="AA11" i="10"/>
  <c r="M51" i="10"/>
  <c r="M55" i="10" s="1"/>
  <c r="M56" i="10" s="1"/>
  <c r="M57" i="10" s="1"/>
  <c r="M17" i="10"/>
  <c r="M46" i="10"/>
  <c r="M47" i="10" s="1"/>
  <c r="M19" i="10"/>
  <c r="M20" i="10" s="1"/>
  <c r="N23" i="10" s="1"/>
  <c r="J22" i="10"/>
  <c r="M14" i="10"/>
  <c r="N13" i="10"/>
  <c r="AK11" i="10" l="1"/>
  <c r="AK13" i="10" s="1"/>
  <c r="Y13" i="10"/>
  <c r="Y27" i="10" s="1"/>
  <c r="Y28" i="10" s="1"/>
  <c r="M61" i="10"/>
  <c r="M62" i="10" s="1"/>
  <c r="M41" i="10"/>
  <c r="AB11" i="10"/>
  <c r="AL11" i="10" s="1"/>
  <c r="M15" i="10"/>
  <c r="M16" i="10" s="1"/>
  <c r="C25" i="16" s="1"/>
  <c r="M58" i="10"/>
  <c r="M59" i="10" s="1"/>
  <c r="M60" i="10" s="1"/>
  <c r="M53" i="10"/>
  <c r="N46" i="10"/>
  <c r="N47" i="10" s="1"/>
  <c r="N51" i="10"/>
  <c r="M48" i="10"/>
  <c r="M49" i="10" s="1"/>
  <c r="N19" i="10"/>
  <c r="N20" i="10" s="1"/>
  <c r="O23" i="10" s="1"/>
  <c r="N17" i="10"/>
  <c r="C9" i="18"/>
  <c r="C32" i="18"/>
  <c r="N42" i="10"/>
  <c r="M21" i="10"/>
  <c r="M22" i="10" s="1"/>
  <c r="M35" i="10" s="1"/>
  <c r="O13" i="10"/>
  <c r="N14" i="10"/>
  <c r="AV11" i="10" l="1"/>
  <c r="AV13" i="10" s="1"/>
  <c r="AV27" i="10" s="1"/>
  <c r="AV52" i="10" s="1"/>
  <c r="AL13" i="10"/>
  <c r="BF7" i="10"/>
  <c r="AC11" i="10"/>
  <c r="AD11" i="10" s="1"/>
  <c r="AE11" i="10" s="1"/>
  <c r="AF11" i="10" s="1"/>
  <c r="AW11" i="10"/>
  <c r="AX11" i="10" s="1"/>
  <c r="D32" i="18"/>
  <c r="M18" i="10"/>
  <c r="C17" i="16" s="1"/>
  <c r="M64" i="10"/>
  <c r="C26" i="2" s="1"/>
  <c r="C22" i="2"/>
  <c r="C24" i="2"/>
  <c r="M66" i="10"/>
  <c r="N61" i="10"/>
  <c r="N53" i="10"/>
  <c r="N55" i="10"/>
  <c r="N56" i="10" s="1"/>
  <c r="N15" i="10" s="1"/>
  <c r="O46" i="10"/>
  <c r="O47" i="10" s="1"/>
  <c r="O51" i="10"/>
  <c r="N48" i="10"/>
  <c r="N49" i="10" s="1"/>
  <c r="O19" i="10"/>
  <c r="O20" i="10" s="1"/>
  <c r="P23" i="10" s="1"/>
  <c r="O17" i="10"/>
  <c r="N41" i="10"/>
  <c r="O42" i="10"/>
  <c r="D10" i="2"/>
  <c r="D10" i="16"/>
  <c r="C9" i="16"/>
  <c r="C9" i="2"/>
  <c r="D9" i="18"/>
  <c r="D21" i="16"/>
  <c r="D18" i="2"/>
  <c r="N21" i="10"/>
  <c r="N22" i="10" s="1"/>
  <c r="P13" i="10"/>
  <c r="O14" i="10"/>
  <c r="AV34" i="10" l="1"/>
  <c r="AV51" i="10"/>
  <c r="AV55" i="10" s="1"/>
  <c r="AV56" i="10" s="1"/>
  <c r="AW13" i="10"/>
  <c r="AW51" i="10" s="1"/>
  <c r="AY11" i="10"/>
  <c r="AX12" i="10"/>
  <c r="C29" i="16"/>
  <c r="N57" i="10"/>
  <c r="C8" i="18"/>
  <c r="C10" i="18" s="1"/>
  <c r="C16" i="2"/>
  <c r="C19" i="16"/>
  <c r="N62" i="10"/>
  <c r="N66" i="10"/>
  <c r="O61" i="10"/>
  <c r="O53" i="10"/>
  <c r="O55" i="10"/>
  <c r="O56" i="10" s="1"/>
  <c r="O15" i="10" s="1"/>
  <c r="P46" i="10"/>
  <c r="P47" i="10" s="1"/>
  <c r="P51" i="10"/>
  <c r="O48" i="10"/>
  <c r="O49" i="10" s="1"/>
  <c r="P19" i="10"/>
  <c r="P20" i="10" s="1"/>
  <c r="Q23" i="10" s="1"/>
  <c r="P17" i="10"/>
  <c r="P42" i="10"/>
  <c r="O41" i="10"/>
  <c r="C13" i="16"/>
  <c r="E9" i="18"/>
  <c r="E32" i="18"/>
  <c r="E10" i="16"/>
  <c r="E10" i="2"/>
  <c r="C11" i="2"/>
  <c r="D9" i="2"/>
  <c r="D11" i="2" s="1"/>
  <c r="D9" i="16"/>
  <c r="D13" i="16" s="1"/>
  <c r="C15" i="2"/>
  <c r="N18" i="10"/>
  <c r="E18" i="2"/>
  <c r="E21" i="16"/>
  <c r="M25" i="10"/>
  <c r="M37" i="10" s="1"/>
  <c r="N35" i="10"/>
  <c r="D24" i="2" s="1"/>
  <c r="N25" i="10"/>
  <c r="N37" i="10" s="1"/>
  <c r="O21" i="10"/>
  <c r="O22" i="10" s="1"/>
  <c r="P14" i="10"/>
  <c r="Q13" i="10"/>
  <c r="AW27" i="10" l="1"/>
  <c r="AW34" i="10" s="1"/>
  <c r="AX13" i="10"/>
  <c r="AX26" i="10" s="1"/>
  <c r="AX15" i="10"/>
  <c r="N58" i="10"/>
  <c r="N59" i="10" s="1"/>
  <c r="N60" i="10" s="1"/>
  <c r="H56" i="10"/>
  <c r="H60" i="10" s="1"/>
  <c r="H61" i="10" s="1"/>
  <c r="AZ11" i="10"/>
  <c r="AY12" i="10"/>
  <c r="O57" i="10"/>
  <c r="C31" i="18"/>
  <c r="C33" i="18" s="1"/>
  <c r="D15" i="2"/>
  <c r="D27" i="16"/>
  <c r="D7" i="18"/>
  <c r="O62" i="10"/>
  <c r="O66" i="10"/>
  <c r="D16" i="2"/>
  <c r="D19" i="16"/>
  <c r="P61" i="10"/>
  <c r="C27" i="2"/>
  <c r="P55" i="10"/>
  <c r="P56" i="10" s="1"/>
  <c r="P15" i="10" s="1"/>
  <c r="P53" i="10"/>
  <c r="Q46" i="10"/>
  <c r="Q47" i="10" s="1"/>
  <c r="Q51" i="10"/>
  <c r="P48" i="10"/>
  <c r="P49" i="10" s="1"/>
  <c r="Q19" i="10"/>
  <c r="Q20" i="10" s="1"/>
  <c r="R23" i="10" s="1"/>
  <c r="Q17" i="10"/>
  <c r="Q42" i="10"/>
  <c r="P41" i="10"/>
  <c r="F10" i="16"/>
  <c r="F10" i="2"/>
  <c r="F9" i="18"/>
  <c r="F32" i="18"/>
  <c r="E9" i="2"/>
  <c r="E9" i="16"/>
  <c r="E13" i="16" s="1"/>
  <c r="O18" i="10"/>
  <c r="D17" i="16"/>
  <c r="F21" i="16"/>
  <c r="F18" i="2"/>
  <c r="C27" i="16"/>
  <c r="O35" i="10"/>
  <c r="E24" i="2" s="1"/>
  <c r="O25" i="10"/>
  <c r="O37" i="10" s="1"/>
  <c r="P21" i="10"/>
  <c r="P22" i="10" s="1"/>
  <c r="Q14" i="10"/>
  <c r="R13" i="10"/>
  <c r="H65" i="10" l="1"/>
  <c r="AW52" i="10"/>
  <c r="AW55" i="10" s="1"/>
  <c r="AW56" i="10" s="1"/>
  <c r="N64" i="10"/>
  <c r="D26" i="2" s="1"/>
  <c r="AY13" i="10"/>
  <c r="AY26" i="10" s="1"/>
  <c r="AY15" i="10"/>
  <c r="N16" i="10"/>
  <c r="D25" i="16" s="1"/>
  <c r="O58" i="10"/>
  <c r="O59" i="10" s="1"/>
  <c r="O60" i="10" s="1"/>
  <c r="O16" i="10"/>
  <c r="E25" i="16" s="1"/>
  <c r="BA11" i="10"/>
  <c r="BA12" i="10" s="1"/>
  <c r="AZ12" i="10"/>
  <c r="P57" i="10"/>
  <c r="E27" i="16"/>
  <c r="E17" i="16"/>
  <c r="D30" i="18"/>
  <c r="P62" i="10"/>
  <c r="P66" i="10"/>
  <c r="E16" i="2"/>
  <c r="E19" i="16"/>
  <c r="Q61" i="10"/>
  <c r="C30" i="16"/>
  <c r="C32" i="16" s="1"/>
  <c r="C36" i="16" s="1"/>
  <c r="Q53" i="10"/>
  <c r="Q55" i="10"/>
  <c r="Q56" i="10" s="1"/>
  <c r="Q15" i="10" s="1"/>
  <c r="R46" i="10"/>
  <c r="R47" i="10" s="1"/>
  <c r="R51" i="10"/>
  <c r="Q48" i="10"/>
  <c r="Q49" i="10" s="1"/>
  <c r="R19" i="10"/>
  <c r="R20" i="10" s="1"/>
  <c r="S23" i="10" s="1"/>
  <c r="R17" i="10"/>
  <c r="D8" i="18"/>
  <c r="D10" i="18" s="1"/>
  <c r="D31" i="18"/>
  <c r="G9" i="18"/>
  <c r="G32" i="18"/>
  <c r="E11" i="2"/>
  <c r="R42" i="10"/>
  <c r="Q41" i="10"/>
  <c r="F9" i="16"/>
  <c r="F13" i="16" s="1"/>
  <c r="F9" i="2"/>
  <c r="F11" i="2" s="1"/>
  <c r="G10" i="16"/>
  <c r="G10" i="2"/>
  <c r="E15" i="2"/>
  <c r="C29" i="2"/>
  <c r="G18" i="2"/>
  <c r="G21" i="16"/>
  <c r="P18" i="10"/>
  <c r="P35" i="10"/>
  <c r="F24" i="2" s="1"/>
  <c r="P25" i="10"/>
  <c r="P37" i="10" s="1"/>
  <c r="Q21" i="10"/>
  <c r="Q22" i="10" s="1"/>
  <c r="R14" i="10"/>
  <c r="S13" i="10"/>
  <c r="D29" i="16" l="1"/>
  <c r="D30" i="16" s="1"/>
  <c r="D32" i="16" s="1"/>
  <c r="O64" i="10"/>
  <c r="E29" i="16" s="1"/>
  <c r="E30" i="16" s="1"/>
  <c r="E32" i="16" s="1"/>
  <c r="D22" i="2"/>
  <c r="D27" i="2" s="1"/>
  <c r="D29" i="2" s="1"/>
  <c r="AZ13" i="10"/>
  <c r="AZ26" i="10" s="1"/>
  <c r="AZ15" i="10"/>
  <c r="BA13" i="10"/>
  <c r="BA26" i="10" s="1"/>
  <c r="BA15" i="10"/>
  <c r="P58" i="10"/>
  <c r="P59" i="10" s="1"/>
  <c r="P60" i="10" s="1"/>
  <c r="P16" i="10"/>
  <c r="F25" i="16" s="1"/>
  <c r="S27" i="10"/>
  <c r="S52" i="10" s="1"/>
  <c r="E22" i="2"/>
  <c r="E8" i="18"/>
  <c r="S51" i="10"/>
  <c r="Q57" i="10"/>
  <c r="E31" i="18"/>
  <c r="D34" i="16"/>
  <c r="F27" i="16"/>
  <c r="D33" i="18"/>
  <c r="E7" i="18"/>
  <c r="Q62" i="10"/>
  <c r="Q66" i="10"/>
  <c r="F19" i="16"/>
  <c r="F16" i="2"/>
  <c r="R61" i="10"/>
  <c r="R53" i="10"/>
  <c r="R55" i="10"/>
  <c r="R56" i="10" s="1"/>
  <c r="R15" i="10" s="1"/>
  <c r="S17" i="10"/>
  <c r="S46" i="10"/>
  <c r="S47" i="10" s="1"/>
  <c r="R48" i="10"/>
  <c r="R49" i="10" s="1"/>
  <c r="H10" i="16"/>
  <c r="H10" i="2"/>
  <c r="H9" i="18"/>
  <c r="H32" i="18"/>
  <c r="S42" i="10"/>
  <c r="I10" i="16" s="1"/>
  <c r="R41" i="10"/>
  <c r="G9" i="16"/>
  <c r="G9" i="2"/>
  <c r="G11" i="2" s="1"/>
  <c r="Q18" i="10"/>
  <c r="C33" i="2"/>
  <c r="H18" i="2"/>
  <c r="I18" i="2" s="1"/>
  <c r="H21" i="16"/>
  <c r="F17" i="16"/>
  <c r="F15" i="2"/>
  <c r="Q25" i="10"/>
  <c r="Q37" i="10" s="1"/>
  <c r="Q35" i="10"/>
  <c r="G24" i="2" s="1"/>
  <c r="S19" i="10"/>
  <c r="S20" i="10" s="1"/>
  <c r="T23" i="10" s="1"/>
  <c r="R21" i="10"/>
  <c r="R22" i="10" s="1"/>
  <c r="I21" i="16"/>
  <c r="S14" i="10"/>
  <c r="T13" i="10"/>
  <c r="P64" i="10" l="1"/>
  <c r="F29" i="16" s="1"/>
  <c r="F30" i="16" s="1"/>
  <c r="F32" i="16" s="1"/>
  <c r="E26" i="2"/>
  <c r="E27" i="2" s="1"/>
  <c r="E29" i="2" s="1"/>
  <c r="D36" i="16"/>
  <c r="E34" i="16" s="1"/>
  <c r="E36" i="16" s="1"/>
  <c r="T27" i="10"/>
  <c r="T52" i="10" s="1"/>
  <c r="Q58" i="10"/>
  <c r="Q59" i="10" s="1"/>
  <c r="Q60" i="10" s="1"/>
  <c r="Q16" i="10"/>
  <c r="G22" i="2" s="1"/>
  <c r="F22" i="2"/>
  <c r="E10" i="18"/>
  <c r="S55" i="10"/>
  <c r="S56" i="10" s="1"/>
  <c r="T51" i="10"/>
  <c r="R57" i="10"/>
  <c r="R16" i="10" s="1"/>
  <c r="D31" i="2"/>
  <c r="D33" i="2" s="1"/>
  <c r="E31" i="2" s="1"/>
  <c r="G27" i="16"/>
  <c r="G17" i="16"/>
  <c r="E30" i="18"/>
  <c r="E33" i="18" s="1"/>
  <c r="F30" i="18" s="1"/>
  <c r="R62" i="10"/>
  <c r="R66" i="10"/>
  <c r="G19" i="16"/>
  <c r="G16" i="2"/>
  <c r="F31" i="18"/>
  <c r="S61" i="10"/>
  <c r="S53" i="10"/>
  <c r="S48" i="10"/>
  <c r="S49" i="10" s="1"/>
  <c r="T17" i="10"/>
  <c r="T46" i="10"/>
  <c r="T47" i="10" s="1"/>
  <c r="S41" i="10"/>
  <c r="I9" i="16" s="1"/>
  <c r="T42" i="10"/>
  <c r="J10" i="16" s="1"/>
  <c r="H9" i="16"/>
  <c r="H13" i="16" s="1"/>
  <c r="H9" i="2"/>
  <c r="G13" i="16"/>
  <c r="G15" i="2"/>
  <c r="R18" i="10"/>
  <c r="I9" i="18"/>
  <c r="F8" i="18"/>
  <c r="I10" i="2"/>
  <c r="S34" i="10"/>
  <c r="S30" i="10"/>
  <c r="R35" i="10"/>
  <c r="H24" i="2" s="1"/>
  <c r="R25" i="10"/>
  <c r="R37" i="10" s="1"/>
  <c r="S29" i="10"/>
  <c r="S28" i="10"/>
  <c r="S43" i="10" s="1"/>
  <c r="T19" i="10"/>
  <c r="T20" i="10" s="1"/>
  <c r="U23" i="10" s="1"/>
  <c r="J21" i="16"/>
  <c r="S21" i="10"/>
  <c r="S22" i="10" s="1"/>
  <c r="S25" i="10" s="1"/>
  <c r="T14" i="10"/>
  <c r="U13" i="10"/>
  <c r="F7" i="18" l="1"/>
  <c r="F10" i="18" s="1"/>
  <c r="Q64" i="10"/>
  <c r="G29" i="16" s="1"/>
  <c r="F26" i="2"/>
  <c r="F27" i="2" s="1"/>
  <c r="F29" i="2" s="1"/>
  <c r="S15" i="10"/>
  <c r="G25" i="16"/>
  <c r="U27" i="10"/>
  <c r="U52" i="10" s="1"/>
  <c r="G8" i="18"/>
  <c r="S57" i="10"/>
  <c r="S58" i="10" s="1"/>
  <c r="S59" i="10" s="1"/>
  <c r="T53" i="10"/>
  <c r="H25" i="16"/>
  <c r="H22" i="2"/>
  <c r="I22" i="2" s="1"/>
  <c r="U51" i="10"/>
  <c r="R58" i="10"/>
  <c r="R59" i="10" s="1"/>
  <c r="R64" i="10" s="1"/>
  <c r="E33" i="2"/>
  <c r="F31" i="2" s="1"/>
  <c r="F34" i="16"/>
  <c r="F36" i="16" s="1"/>
  <c r="G34" i="16" s="1"/>
  <c r="G31" i="18"/>
  <c r="H15" i="2"/>
  <c r="I15" i="2" s="1"/>
  <c r="H27" i="16"/>
  <c r="F33" i="18"/>
  <c r="G30" i="18" s="1"/>
  <c r="C20" i="18"/>
  <c r="H19" i="16"/>
  <c r="H16" i="2"/>
  <c r="I16" i="2" s="1"/>
  <c r="S62" i="10"/>
  <c r="S66" i="10"/>
  <c r="I19" i="16" s="1"/>
  <c r="T61" i="10"/>
  <c r="T55" i="10"/>
  <c r="T56" i="10" s="1"/>
  <c r="T48" i="10"/>
  <c r="T49" i="10" s="1"/>
  <c r="U17" i="10"/>
  <c r="U46" i="10"/>
  <c r="U47" i="10" s="1"/>
  <c r="I32" i="18"/>
  <c r="I9" i="2"/>
  <c r="H11" i="2"/>
  <c r="I11" i="2" s="1"/>
  <c r="T41" i="10"/>
  <c r="J9" i="16" s="1"/>
  <c r="U42" i="10"/>
  <c r="K10" i="16" s="1"/>
  <c r="J9" i="18"/>
  <c r="I11" i="16"/>
  <c r="T44" i="10"/>
  <c r="J12" i="16" s="1"/>
  <c r="H17" i="16"/>
  <c r="S18" i="10"/>
  <c r="I17" i="16" s="1"/>
  <c r="T34" i="10"/>
  <c r="T30" i="10"/>
  <c r="S32" i="10"/>
  <c r="S33" i="10" s="1"/>
  <c r="S35" i="10" s="1"/>
  <c r="S36" i="10" s="1"/>
  <c r="S31" i="10"/>
  <c r="T28" i="10"/>
  <c r="T29" i="10"/>
  <c r="J32" i="18" s="1"/>
  <c r="U19" i="10"/>
  <c r="U20" i="10" s="1"/>
  <c r="V23" i="10" s="1"/>
  <c r="K21" i="16"/>
  <c r="T21" i="10"/>
  <c r="T22" i="10" s="1"/>
  <c r="U14" i="10"/>
  <c r="V13" i="10"/>
  <c r="G26" i="2" l="1"/>
  <c r="G27" i="2" s="1"/>
  <c r="G29" i="2" s="1"/>
  <c r="T15" i="10"/>
  <c r="G30" i="16"/>
  <c r="G32" i="16" s="1"/>
  <c r="G36" i="16" s="1"/>
  <c r="V27" i="10"/>
  <c r="V52" i="10" s="1"/>
  <c r="S16" i="10"/>
  <c r="I25" i="16" s="1"/>
  <c r="S39" i="10"/>
  <c r="I31" i="18" s="1"/>
  <c r="T57" i="10"/>
  <c r="T58" i="10" s="1"/>
  <c r="T59" i="10" s="1"/>
  <c r="R60" i="10"/>
  <c r="U53" i="10"/>
  <c r="V51" i="10"/>
  <c r="G33" i="18"/>
  <c r="H30" i="18" s="1"/>
  <c r="H26" i="2"/>
  <c r="G7" i="18"/>
  <c r="G10" i="18" s="1"/>
  <c r="H7" i="18" s="1"/>
  <c r="T62" i="10"/>
  <c r="T66" i="10"/>
  <c r="J19" i="16" s="1"/>
  <c r="S64" i="10"/>
  <c r="I29" i="16" s="1"/>
  <c r="S60" i="10"/>
  <c r="H29" i="16"/>
  <c r="H30" i="16" s="1"/>
  <c r="H32" i="16" s="1"/>
  <c r="U61" i="10"/>
  <c r="U55" i="10"/>
  <c r="U56" i="10" s="1"/>
  <c r="U48" i="10"/>
  <c r="U49" i="10" s="1"/>
  <c r="V17" i="10"/>
  <c r="V46" i="10"/>
  <c r="V47" i="10" s="1"/>
  <c r="I8" i="18"/>
  <c r="U41" i="10"/>
  <c r="K9" i="16" s="1"/>
  <c r="V42" i="10"/>
  <c r="L10" i="16" s="1"/>
  <c r="K9" i="18"/>
  <c r="H8" i="18"/>
  <c r="H31" i="18"/>
  <c r="U44" i="10"/>
  <c r="K12" i="16" s="1"/>
  <c r="T43" i="10"/>
  <c r="J11" i="16" s="1"/>
  <c r="J13" i="16" s="1"/>
  <c r="I13" i="16"/>
  <c r="I24" i="2"/>
  <c r="D20" i="18"/>
  <c r="T18" i="10"/>
  <c r="J17" i="16" s="1"/>
  <c r="U34" i="10"/>
  <c r="U30" i="10"/>
  <c r="T25" i="10"/>
  <c r="S37" i="10"/>
  <c r="I27" i="16"/>
  <c r="T31" i="10"/>
  <c r="U29" i="10"/>
  <c r="E20" i="18" s="1"/>
  <c r="U28" i="10"/>
  <c r="V19" i="10"/>
  <c r="V20" i="10" s="1"/>
  <c r="W23" i="10" s="1"/>
  <c r="U21" i="10"/>
  <c r="U22" i="10" s="1"/>
  <c r="L21" i="16"/>
  <c r="F33" i="2"/>
  <c r="V14" i="10"/>
  <c r="W13" i="10"/>
  <c r="W17" i="10" s="1"/>
  <c r="I26" i="2" l="1"/>
  <c r="U15" i="10"/>
  <c r="T16" i="10"/>
  <c r="J25" i="16" s="1"/>
  <c r="W27" i="10"/>
  <c r="W52" i="10" s="1"/>
  <c r="U57" i="10"/>
  <c r="U58" i="10" s="1"/>
  <c r="U59" i="10" s="1"/>
  <c r="V53" i="10"/>
  <c r="W51" i="10"/>
  <c r="H34" i="16"/>
  <c r="H36" i="16" s="1"/>
  <c r="I34" i="16" s="1"/>
  <c r="H33" i="18"/>
  <c r="I30" i="18" s="1"/>
  <c r="I33" i="18" s="1"/>
  <c r="J30" i="18" s="1"/>
  <c r="H27" i="2"/>
  <c r="I27" i="2" s="1"/>
  <c r="AA13" i="10"/>
  <c r="H10" i="18"/>
  <c r="U62" i="10"/>
  <c r="U66" i="10"/>
  <c r="K19" i="16" s="1"/>
  <c r="T64" i="10"/>
  <c r="J29" i="16" s="1"/>
  <c r="T60" i="10"/>
  <c r="V61" i="10"/>
  <c r="V55" i="10"/>
  <c r="V56" i="10" s="1"/>
  <c r="V48" i="10"/>
  <c r="V49" i="10" s="1"/>
  <c r="W46" i="10"/>
  <c r="W47" i="10" s="1"/>
  <c r="K32" i="18"/>
  <c r="W42" i="10"/>
  <c r="M10" i="16" s="1"/>
  <c r="V41" i="10"/>
  <c r="L9" i="16" s="1"/>
  <c r="L9" i="18"/>
  <c r="J8" i="18"/>
  <c r="V44" i="10"/>
  <c r="L12" i="16" s="1"/>
  <c r="U43" i="10"/>
  <c r="K11" i="16" s="1"/>
  <c r="I18" i="16"/>
  <c r="C19" i="18"/>
  <c r="X13" i="10"/>
  <c r="X17" i="10" s="1"/>
  <c r="Y17" i="10"/>
  <c r="Y18" i="10" s="1"/>
  <c r="T39" i="10"/>
  <c r="J31" i="18" s="1"/>
  <c r="U18" i="10"/>
  <c r="K17" i="16" s="1"/>
  <c r="V34" i="10"/>
  <c r="V30" i="10"/>
  <c r="U25" i="10"/>
  <c r="T32" i="10"/>
  <c r="T33" i="10" s="1"/>
  <c r="T35" i="10" s="1"/>
  <c r="U31" i="10"/>
  <c r="V28" i="10"/>
  <c r="V29" i="10"/>
  <c r="F20" i="18" s="1"/>
  <c r="W19" i="10"/>
  <c r="W20" i="10" s="1"/>
  <c r="X23" i="10" s="1"/>
  <c r="V21" i="10"/>
  <c r="V22" i="10" s="1"/>
  <c r="V25" i="10" s="1"/>
  <c r="M21" i="16"/>
  <c r="G31" i="2"/>
  <c r="W14" i="10"/>
  <c r="V15" i="10" l="1"/>
  <c r="X27" i="10"/>
  <c r="U16" i="10"/>
  <c r="K25" i="16" s="1"/>
  <c r="AK14" i="10"/>
  <c r="AK41" i="10" s="1"/>
  <c r="AA27" i="10"/>
  <c r="V57" i="10"/>
  <c r="V58" i="10" s="1"/>
  <c r="V59" i="10" s="1"/>
  <c r="W53" i="10"/>
  <c r="H29" i="2"/>
  <c r="I29" i="2" s="1"/>
  <c r="AB13" i="10"/>
  <c r="AA46" i="10"/>
  <c r="AK46" i="10" s="1"/>
  <c r="AA51" i="10"/>
  <c r="AA19" i="10"/>
  <c r="AK19" i="10" s="1"/>
  <c r="AA17" i="10"/>
  <c r="AA14" i="10"/>
  <c r="AB42" i="10" s="1"/>
  <c r="I7" i="18"/>
  <c r="I10" i="18" s="1"/>
  <c r="J7" i="18" s="1"/>
  <c r="J10" i="18" s="1"/>
  <c r="K7" i="18" s="1"/>
  <c r="V62" i="10"/>
  <c r="V66" i="10"/>
  <c r="L19" i="16" s="1"/>
  <c r="U64" i="10"/>
  <c r="K29" i="16" s="1"/>
  <c r="U60" i="10"/>
  <c r="I30" i="16"/>
  <c r="I32" i="16" s="1"/>
  <c r="I36" i="16" s="1"/>
  <c r="J34" i="16" s="1"/>
  <c r="W61" i="10"/>
  <c r="W55" i="10"/>
  <c r="W56" i="10" s="1"/>
  <c r="X46" i="10"/>
  <c r="X47" i="10" s="1"/>
  <c r="X51" i="10"/>
  <c r="W48" i="10"/>
  <c r="W49" i="10" s="1"/>
  <c r="X14" i="10"/>
  <c r="J33" i="18"/>
  <c r="K30" i="18" s="1"/>
  <c r="L32" i="18"/>
  <c r="K8" i="18"/>
  <c r="X42" i="10"/>
  <c r="N10" i="16" s="1"/>
  <c r="O10" i="16" s="1"/>
  <c r="W41" i="10"/>
  <c r="M9" i="16" s="1"/>
  <c r="W44" i="10"/>
  <c r="M12" i="16" s="1"/>
  <c r="V43" i="10"/>
  <c r="L11" i="16" s="1"/>
  <c r="L13" i="16" s="1"/>
  <c r="K13" i="16"/>
  <c r="X19" i="10"/>
  <c r="X20" i="10" s="1"/>
  <c r="Y23" i="10" s="1"/>
  <c r="C23" i="13" s="1"/>
  <c r="C21" i="18"/>
  <c r="M9" i="18"/>
  <c r="J18" i="16"/>
  <c r="D19" i="18"/>
  <c r="U39" i="10"/>
  <c r="Y14" i="10"/>
  <c r="Y29" i="10"/>
  <c r="Y39" i="10" s="1"/>
  <c r="V18" i="10"/>
  <c r="L17" i="16" s="1"/>
  <c r="W34" i="10"/>
  <c r="W30" i="10"/>
  <c r="J27" i="16"/>
  <c r="T36" i="10"/>
  <c r="T37" i="10" s="1"/>
  <c r="U32" i="10"/>
  <c r="U33" i="10" s="1"/>
  <c r="U35" i="10" s="1"/>
  <c r="V31" i="10"/>
  <c r="W28" i="10"/>
  <c r="W29" i="10"/>
  <c r="G20" i="18" s="1"/>
  <c r="W21" i="10"/>
  <c r="W22" i="10" s="1"/>
  <c r="N21" i="16"/>
  <c r="G33" i="2"/>
  <c r="K31" i="18" l="1"/>
  <c r="K33" i="18" s="1"/>
  <c r="L30" i="18" s="1"/>
  <c r="E19" i="18"/>
  <c r="W15" i="10"/>
  <c r="V16" i="10"/>
  <c r="L25" i="16" s="1"/>
  <c r="AB27" i="10"/>
  <c r="AB52" i="10" s="1"/>
  <c r="X41" i="10"/>
  <c r="N9" i="16" s="1"/>
  <c r="O9" i="16" s="1"/>
  <c r="Y42" i="10"/>
  <c r="X18" i="10"/>
  <c r="N17" i="16" s="1"/>
  <c r="Y19" i="10"/>
  <c r="AK51" i="10"/>
  <c r="AA42" i="10"/>
  <c r="AK42" i="10"/>
  <c r="AL42" i="10"/>
  <c r="AK17" i="10"/>
  <c r="AK27" i="10"/>
  <c r="AL14" i="10"/>
  <c r="AL41" i="10" s="1"/>
  <c r="AB51" i="10"/>
  <c r="W57" i="10"/>
  <c r="W58" i="10" s="1"/>
  <c r="W59" i="10" s="1"/>
  <c r="AA61" i="10"/>
  <c r="AA62" i="10" s="1"/>
  <c r="AA34" i="10"/>
  <c r="AA28" i="10"/>
  <c r="AA29" i="10"/>
  <c r="AA52" i="10"/>
  <c r="AA30" i="10"/>
  <c r="AK30" i="10" s="1"/>
  <c r="X48" i="10"/>
  <c r="X49" i="10" s="1"/>
  <c r="AA47" i="10"/>
  <c r="AK47" i="10" s="1"/>
  <c r="AA20" i="10"/>
  <c r="AA23" i="10"/>
  <c r="AA41" i="10"/>
  <c r="AC13" i="10"/>
  <c r="AB46" i="10"/>
  <c r="AL46" i="10" s="1"/>
  <c r="AB19" i="10"/>
  <c r="AL19" i="10" s="1"/>
  <c r="AB17" i="10"/>
  <c r="AB14" i="10"/>
  <c r="D18" i="18"/>
  <c r="D21" i="18" s="1"/>
  <c r="E18" i="18" s="1"/>
  <c r="W62" i="10"/>
  <c r="W66" i="10"/>
  <c r="M19" i="16" s="1"/>
  <c r="V64" i="10"/>
  <c r="L29" i="16" s="1"/>
  <c r="V60" i="10"/>
  <c r="J30" i="16"/>
  <c r="J32" i="16" s="1"/>
  <c r="J36" i="16" s="1"/>
  <c r="K34" i="16" s="1"/>
  <c r="X61" i="10"/>
  <c r="X34" i="10"/>
  <c r="X52" i="10"/>
  <c r="X55" i="10" s="1"/>
  <c r="X56" i="10" s="1"/>
  <c r="K10" i="18"/>
  <c r="L7" i="18" s="1"/>
  <c r="L8" i="18"/>
  <c r="N9" i="18"/>
  <c r="O9" i="18" s="1"/>
  <c r="M32" i="18"/>
  <c r="W43" i="10"/>
  <c r="M11" i="16" s="1"/>
  <c r="M13" i="16" s="1"/>
  <c r="X44" i="10"/>
  <c r="N12" i="16" s="1"/>
  <c r="O12" i="16" s="1"/>
  <c r="W18" i="10"/>
  <c r="M17" i="16" s="1"/>
  <c r="X29" i="10"/>
  <c r="X30" i="10"/>
  <c r="X28" i="10"/>
  <c r="K18" i="16"/>
  <c r="C10" i="13"/>
  <c r="V39" i="10"/>
  <c r="W25" i="10"/>
  <c r="K27" i="16"/>
  <c r="U36" i="10"/>
  <c r="U37" i="10" s="1"/>
  <c r="W31" i="10"/>
  <c r="V32" i="10"/>
  <c r="V33" i="10" s="1"/>
  <c r="V35" i="10" s="1"/>
  <c r="X21" i="10"/>
  <c r="X22" i="10" s="1"/>
  <c r="X25" i="10" s="1"/>
  <c r="H31" i="2"/>
  <c r="L31" i="18" l="1"/>
  <c r="L33" i="18" s="1"/>
  <c r="M30" i="18" s="1"/>
  <c r="F19" i="18"/>
  <c r="Y44" i="10"/>
  <c r="C9" i="13" s="1"/>
  <c r="E14" i="4" s="1"/>
  <c r="G14" i="4" s="1"/>
  <c r="AK44" i="10"/>
  <c r="X15" i="10"/>
  <c r="W16" i="10"/>
  <c r="M25" i="16" s="1"/>
  <c r="AK20" i="10"/>
  <c r="AV20" i="10"/>
  <c r="AK52" i="10"/>
  <c r="AK55" i="10" s="1"/>
  <c r="AK29" i="10"/>
  <c r="AK28" i="10"/>
  <c r="AK43" i="10" s="1"/>
  <c r="AA44" i="10"/>
  <c r="AK34" i="10"/>
  <c r="AL17" i="10"/>
  <c r="AL27" i="10"/>
  <c r="AC51" i="10"/>
  <c r="AC27" i="10"/>
  <c r="AC52" i="10" s="1"/>
  <c r="E24" i="13"/>
  <c r="E29" i="13" s="1"/>
  <c r="AB53" i="10"/>
  <c r="AL51" i="10"/>
  <c r="AA18" i="10"/>
  <c r="AK61" i="10"/>
  <c r="AA66" i="10"/>
  <c r="AK23" i="10"/>
  <c r="AA55" i="10"/>
  <c r="X57" i="10"/>
  <c r="AB61" i="10"/>
  <c r="AB62" i="10" s="1"/>
  <c r="AA53" i="10"/>
  <c r="X39" i="10"/>
  <c r="N31" i="18" s="1"/>
  <c r="Y40" i="10"/>
  <c r="D11" i="3" s="1"/>
  <c r="AB20" i="10"/>
  <c r="AB44" i="10"/>
  <c r="AA43" i="10"/>
  <c r="AB34" i="10"/>
  <c r="AB30" i="10"/>
  <c r="AL30" i="10" s="1"/>
  <c r="AB28" i="10"/>
  <c r="AB29" i="10"/>
  <c r="AC42" i="10"/>
  <c r="AB41" i="10"/>
  <c r="AD13" i="10"/>
  <c r="AB47" i="10"/>
  <c r="AL47" i="10" s="1"/>
  <c r="AA48" i="10"/>
  <c r="AA21" i="10"/>
  <c r="AB23" i="10"/>
  <c r="AC46" i="10"/>
  <c r="AC14" i="10"/>
  <c r="AC19" i="10"/>
  <c r="AC17" i="10"/>
  <c r="AB18" i="10" s="1"/>
  <c r="X62" i="10"/>
  <c r="X66" i="10"/>
  <c r="N19" i="16" s="1"/>
  <c r="O19" i="16" s="1"/>
  <c r="D9" i="3" s="1"/>
  <c r="K30" i="16"/>
  <c r="K32" i="16" s="1"/>
  <c r="K36" i="16" s="1"/>
  <c r="L34" i="16" s="1"/>
  <c r="W64" i="10"/>
  <c r="M29" i="16" s="1"/>
  <c r="W60" i="10"/>
  <c r="X53" i="10"/>
  <c r="L10" i="18"/>
  <c r="M7" i="18" s="1"/>
  <c r="N32" i="18"/>
  <c r="O32" i="18" s="1"/>
  <c r="M8" i="18"/>
  <c r="N8" i="18"/>
  <c r="X43" i="10"/>
  <c r="N11" i="16" s="1"/>
  <c r="N13" i="16" s="1"/>
  <c r="O13" i="16" s="1"/>
  <c r="O17" i="16"/>
  <c r="W39" i="10"/>
  <c r="M18" i="16" s="1"/>
  <c r="H20" i="18"/>
  <c r="I20" i="18" s="1"/>
  <c r="E21" i="18"/>
  <c r="L18" i="16"/>
  <c r="L27" i="16"/>
  <c r="V36" i="10"/>
  <c r="V37" i="10" s="1"/>
  <c r="X31" i="10"/>
  <c r="W32" i="10"/>
  <c r="W33" i="10" s="1"/>
  <c r="W35" i="10" s="1"/>
  <c r="H33" i="2"/>
  <c r="AK53" i="10" l="1"/>
  <c r="B64" i="10"/>
  <c r="X16" i="10"/>
  <c r="N25" i="16" s="1"/>
  <c r="O25" i="16" s="1"/>
  <c r="D21" i="3" s="1"/>
  <c r="AL20" i="10"/>
  <c r="AW20" i="10"/>
  <c r="AK18" i="10"/>
  <c r="AL44" i="10"/>
  <c r="AC53" i="10"/>
  <c r="AL29" i="10"/>
  <c r="AK39" i="10" s="1"/>
  <c r="AL28" i="10"/>
  <c r="AL43" i="10" s="1"/>
  <c r="AD51" i="10"/>
  <c r="AD27" i="10"/>
  <c r="AD52" i="10" s="1"/>
  <c r="AK66" i="10"/>
  <c r="AK62" i="10"/>
  <c r="AL52" i="10"/>
  <c r="AL53" i="10" s="1"/>
  <c r="AL34" i="10"/>
  <c r="AL61" i="10"/>
  <c r="AB66" i="10"/>
  <c r="B68" i="10"/>
  <c r="AL23" i="10"/>
  <c r="AA22" i="10"/>
  <c r="AK21" i="10"/>
  <c r="AA49" i="10"/>
  <c r="AK49" i="10" s="1"/>
  <c r="AK48" i="10"/>
  <c r="AA56" i="10"/>
  <c r="AA15" i="10" s="1"/>
  <c r="X58" i="10"/>
  <c r="X59" i="10" s="1"/>
  <c r="AA39" i="10"/>
  <c r="I33" i="2"/>
  <c r="D16" i="10"/>
  <c r="H19" i="18"/>
  <c r="AC61" i="10"/>
  <c r="AC20" i="10"/>
  <c r="AC21" i="10" s="1"/>
  <c r="AC22" i="10" s="1"/>
  <c r="AC25" i="10" s="1"/>
  <c r="AB55" i="10"/>
  <c r="X32" i="10"/>
  <c r="X33" i="10" s="1"/>
  <c r="X35" i="10" s="1"/>
  <c r="N27" i="16" s="1"/>
  <c r="AA31" i="10"/>
  <c r="AK31" i="10" s="1"/>
  <c r="AC55" i="10"/>
  <c r="AC56" i="10" s="1"/>
  <c r="AC29" i="10"/>
  <c r="AC28" i="10"/>
  <c r="AC34" i="10"/>
  <c r="AC30" i="10"/>
  <c r="AD46" i="10"/>
  <c r="AD19" i="10"/>
  <c r="AD14" i="10"/>
  <c r="AD17" i="10"/>
  <c r="AC18" i="10" s="1"/>
  <c r="AC44" i="10"/>
  <c r="AB43" i="10"/>
  <c r="AC41" i="10"/>
  <c r="AD42" i="10"/>
  <c r="AC47" i="10"/>
  <c r="AB48" i="10"/>
  <c r="AC23" i="10"/>
  <c r="AB21" i="10"/>
  <c r="N18" i="16"/>
  <c r="O18" i="16" s="1"/>
  <c r="AE13" i="10"/>
  <c r="F18" i="18"/>
  <c r="F21" i="18" s="1"/>
  <c r="G18" i="18" s="1"/>
  <c r="L30" i="16"/>
  <c r="L32" i="16" s="1"/>
  <c r="L36" i="16" s="1"/>
  <c r="M34" i="16" s="1"/>
  <c r="M10" i="18"/>
  <c r="N7" i="18" s="1"/>
  <c r="N10" i="18" s="1"/>
  <c r="O12" i="18" s="1"/>
  <c r="O11" i="16"/>
  <c r="O8" i="18"/>
  <c r="M31" i="18"/>
  <c r="M33" i="18" s="1"/>
  <c r="G19" i="18"/>
  <c r="W36" i="10"/>
  <c r="W37" i="10" s="1"/>
  <c r="M27" i="16"/>
  <c r="Y25" i="10"/>
  <c r="O21" i="16"/>
  <c r="D17" i="3" s="1"/>
  <c r="Y22" i="10"/>
  <c r="AH25" i="10" s="1"/>
  <c r="AQ25" i="10" l="1"/>
  <c r="BE23" i="10"/>
  <c r="AC15" i="10"/>
  <c r="D8" i="3"/>
  <c r="F10" i="3" s="1"/>
  <c r="AD53" i="10"/>
  <c r="AE51" i="10"/>
  <c r="AE27" i="10"/>
  <c r="AE52" i="10" s="1"/>
  <c r="C64" i="10"/>
  <c r="AM23" i="10"/>
  <c r="X60" i="10"/>
  <c r="Y60" i="10" s="1"/>
  <c r="C17" i="13" s="1"/>
  <c r="Y59" i="10"/>
  <c r="Z60" i="10" s="1"/>
  <c r="AL55" i="10"/>
  <c r="AL66" i="10"/>
  <c r="AL62" i="10"/>
  <c r="AC66" i="10"/>
  <c r="AC62" i="10"/>
  <c r="X64" i="10"/>
  <c r="N29" i="16" s="1"/>
  <c r="O29" i="16" s="1"/>
  <c r="AA25" i="10"/>
  <c r="AK25" i="10" s="1"/>
  <c r="AK22" i="10"/>
  <c r="AK56" i="10"/>
  <c r="AB49" i="10"/>
  <c r="AL49" i="10" s="1"/>
  <c r="AL48" i="10"/>
  <c r="AB56" i="10"/>
  <c r="AB15" i="10" s="1"/>
  <c r="AB22" i="10"/>
  <c r="AL21" i="10"/>
  <c r="AA57" i="10"/>
  <c r="AD23" i="10"/>
  <c r="D64" i="10" s="1"/>
  <c r="D17" i="10"/>
  <c r="AD20" i="10"/>
  <c r="AE23" i="10" s="1"/>
  <c r="E64" i="10" s="1"/>
  <c r="I19" i="18"/>
  <c r="X36" i="10"/>
  <c r="Y35" i="10"/>
  <c r="AD61" i="10"/>
  <c r="AD62" i="10" s="1"/>
  <c r="AD47" i="10"/>
  <c r="AC48" i="10"/>
  <c r="AC49" i="10" s="1"/>
  <c r="AD44" i="10"/>
  <c r="AC43" i="10"/>
  <c r="AD41" i="10"/>
  <c r="AE42" i="10"/>
  <c r="AF13" i="10"/>
  <c r="AG11" i="10"/>
  <c r="AD28" i="10"/>
  <c r="AD29" i="10"/>
  <c r="AD34" i="10"/>
  <c r="AD30" i="10"/>
  <c r="AA32" i="10"/>
  <c r="AB31" i="10"/>
  <c r="AL31" i="10" s="1"/>
  <c r="AE46" i="10"/>
  <c r="AE14" i="10"/>
  <c r="AF42" i="10" s="1"/>
  <c r="AE19" i="10"/>
  <c r="AE17" i="10"/>
  <c r="AD18" i="10" s="1"/>
  <c r="AB39" i="10"/>
  <c r="O10" i="18"/>
  <c r="M30" i="16"/>
  <c r="M32" i="16" s="1"/>
  <c r="M36" i="16" s="1"/>
  <c r="N34" i="16" s="1"/>
  <c r="N30" i="18"/>
  <c r="N33" i="18" s="1"/>
  <c r="O35" i="18" s="1"/>
  <c r="E15" i="4" s="1"/>
  <c r="G15" i="4" s="1"/>
  <c r="O31" i="18"/>
  <c r="G21" i="18"/>
  <c r="H18" i="18" s="1"/>
  <c r="H21" i="18" s="1"/>
  <c r="O27" i="16"/>
  <c r="I21" i="18" l="1"/>
  <c r="I23" i="18"/>
  <c r="X37" i="10"/>
  <c r="Y37" i="10" s="1"/>
  <c r="BE36" i="10"/>
  <c r="BE37" i="10" s="1"/>
  <c r="AG13" i="10"/>
  <c r="AG27" i="10" s="1"/>
  <c r="AG29" i="10" s="1"/>
  <c r="B14" i="4"/>
  <c r="H14" i="4" s="1"/>
  <c r="B15" i="4"/>
  <c r="H15" i="4" s="1"/>
  <c r="F12" i="3"/>
  <c r="E5" i="4" s="1"/>
  <c r="G5" i="4" s="1"/>
  <c r="AK57" i="10"/>
  <c r="F64" i="10"/>
  <c r="C68" i="10" s="1"/>
  <c r="D68" i="10" s="1"/>
  <c r="AE53" i="10"/>
  <c r="AF51" i="10"/>
  <c r="AF27" i="10"/>
  <c r="AF52" i="10" s="1"/>
  <c r="C14" i="13"/>
  <c r="C16" i="13"/>
  <c r="D25" i="3"/>
  <c r="AD66" i="10"/>
  <c r="N30" i="16"/>
  <c r="N32" i="16" s="1"/>
  <c r="O32" i="16" s="1"/>
  <c r="AA33" i="10"/>
  <c r="AK32" i="10"/>
  <c r="AA58" i="10"/>
  <c r="AK58" i="10" s="1"/>
  <c r="AK59" i="10" s="1"/>
  <c r="AK64" i="10" s="1"/>
  <c r="AB57" i="10"/>
  <c r="AL56" i="10"/>
  <c r="AB25" i="10"/>
  <c r="AL25" i="10" s="1"/>
  <c r="AP25" i="10" s="1"/>
  <c r="AL22" i="10"/>
  <c r="AA16" i="10"/>
  <c r="AK15" i="10"/>
  <c r="AC39" i="10"/>
  <c r="AH36" i="10"/>
  <c r="AQ36" i="10" s="1"/>
  <c r="D18" i="10"/>
  <c r="B2" i="15" s="1"/>
  <c r="AD21" i="10"/>
  <c r="AD22" i="10" s="1"/>
  <c r="AD25" i="10" s="1"/>
  <c r="AE61" i="10"/>
  <c r="AE62" i="10" s="1"/>
  <c r="AE20" i="10"/>
  <c r="AE21" i="10" s="1"/>
  <c r="AE22" i="10" s="1"/>
  <c r="AE25" i="10" s="1"/>
  <c r="AD55" i="10"/>
  <c r="AD56" i="10" s="1"/>
  <c r="AD15" i="10" s="1"/>
  <c r="AF46" i="10"/>
  <c r="AF14" i="10"/>
  <c r="AG42" i="10" s="1"/>
  <c r="AF19" i="10"/>
  <c r="AF17" i="10"/>
  <c r="AD43" i="10"/>
  <c r="AE44" i="10"/>
  <c r="AC31" i="10"/>
  <c r="AB32" i="10"/>
  <c r="AE41" i="10"/>
  <c r="AE28" i="10"/>
  <c r="AE55" i="10"/>
  <c r="AE56" i="10" s="1"/>
  <c r="AE29" i="10"/>
  <c r="AE34" i="10"/>
  <c r="AE30" i="10"/>
  <c r="AE47" i="10"/>
  <c r="AD48" i="10"/>
  <c r="AD49" i="10" s="1"/>
  <c r="O33" i="18"/>
  <c r="BJ21" i="10" l="1"/>
  <c r="BK21" i="10"/>
  <c r="BL21" i="10"/>
  <c r="BH21" i="10"/>
  <c r="BI21" i="10"/>
  <c r="BF21" i="10"/>
  <c r="BG21" i="10"/>
  <c r="BE38" i="10"/>
  <c r="C15" i="13"/>
  <c r="E18" i="13" s="1"/>
  <c r="D23" i="3"/>
  <c r="F26" i="3" s="1"/>
  <c r="F28" i="3" s="1"/>
  <c r="AK16" i="10"/>
  <c r="AG17" i="10"/>
  <c r="AG18" i="10" s="1"/>
  <c r="AG14" i="10"/>
  <c r="B5" i="4"/>
  <c r="H5" i="4" s="1"/>
  <c r="AE15" i="10"/>
  <c r="AL57" i="10"/>
  <c r="AL58" i="10" s="1"/>
  <c r="AL59" i="10" s="1"/>
  <c r="AL60" i="10" s="1"/>
  <c r="AF53" i="10"/>
  <c r="AK60" i="10"/>
  <c r="AE66" i="10"/>
  <c r="AE18" i="10"/>
  <c r="N36" i="16"/>
  <c r="O36" i="16" s="1"/>
  <c r="O30" i="16"/>
  <c r="AA35" i="10"/>
  <c r="AK33" i="10"/>
  <c r="AC57" i="10"/>
  <c r="AB58" i="10"/>
  <c r="AB33" i="10"/>
  <c r="AL32" i="10"/>
  <c r="AA59" i="10"/>
  <c r="AA64" i="10" s="1"/>
  <c r="AD39" i="10"/>
  <c r="B25" i="10"/>
  <c r="AF23" i="10"/>
  <c r="AF61" i="10"/>
  <c r="AF20" i="10"/>
  <c r="AG23" i="10" s="1"/>
  <c r="AF41" i="10"/>
  <c r="AC32" i="10"/>
  <c r="AC33" i="10" s="1"/>
  <c r="AC35" i="10" s="1"/>
  <c r="AD31" i="10"/>
  <c r="AF44" i="10"/>
  <c r="AE43" i="10"/>
  <c r="AF28" i="10"/>
  <c r="AF55" i="10"/>
  <c r="AF56" i="10" s="1"/>
  <c r="AF29" i="10"/>
  <c r="AF34" i="10"/>
  <c r="AF30" i="10"/>
  <c r="AF47" i="10"/>
  <c r="AF48" i="10" s="1"/>
  <c r="AF49" i="10" s="1"/>
  <c r="AE48" i="10"/>
  <c r="AE49" i="10" s="1"/>
  <c r="G20" i="4" l="1"/>
  <c r="E4" i="4"/>
  <c r="G4" i="4" s="1"/>
  <c r="AF62" i="10"/>
  <c r="AF66" i="10"/>
  <c r="AF18" i="10"/>
  <c r="H66" i="10"/>
  <c r="B20" i="4"/>
  <c r="B4" i="4"/>
  <c r="E84" i="10"/>
  <c r="K10" i="15"/>
  <c r="K15" i="18"/>
  <c r="G13" i="13"/>
  <c r="B35" i="2"/>
  <c r="D38" i="16"/>
  <c r="AF15" i="10"/>
  <c r="AL15" i="10"/>
  <c r="H64" i="10"/>
  <c r="H71" i="10" s="1"/>
  <c r="I71" i="10" s="1"/>
  <c r="AB16" i="10"/>
  <c r="AC58" i="10"/>
  <c r="AC59" i="10" s="1"/>
  <c r="AC60" i="10" s="1"/>
  <c r="AC16" i="10"/>
  <c r="AA60" i="10"/>
  <c r="AD57" i="10"/>
  <c r="AD16" i="10" s="1"/>
  <c r="AB35" i="10"/>
  <c r="AL33" i="10"/>
  <c r="AK35" i="10"/>
  <c r="AA36" i="10"/>
  <c r="AK36" i="10" s="1"/>
  <c r="AB59" i="10"/>
  <c r="AB64" i="10" s="1"/>
  <c r="AC36" i="10"/>
  <c r="AF39" i="10"/>
  <c r="C8" i="13"/>
  <c r="AF21" i="10"/>
  <c r="AF22" i="10" s="1"/>
  <c r="AF25" i="10" s="1"/>
  <c r="AG25" i="10" s="1"/>
  <c r="AE31" i="10"/>
  <c r="AD32" i="10"/>
  <c r="AD33" i="10" s="1"/>
  <c r="AD35" i="10" s="1"/>
  <c r="AE39" i="10"/>
  <c r="AF43" i="10"/>
  <c r="AG44" i="10"/>
  <c r="F30" i="3"/>
  <c r="H20" i="4" l="1"/>
  <c r="H4" i="4"/>
  <c r="E13" i="4"/>
  <c r="G13" i="4" s="1"/>
  <c r="E12" i="4"/>
  <c r="G12" i="4" s="1"/>
  <c r="K6" i="8"/>
  <c r="E11" i="13"/>
  <c r="B13" i="4"/>
  <c r="B12" i="4"/>
  <c r="AL16" i="10"/>
  <c r="AC64" i="10"/>
  <c r="AL64" i="10"/>
  <c r="AB60" i="10"/>
  <c r="AL35" i="10"/>
  <c r="AQ35" i="10" s="1"/>
  <c r="AB36" i="10"/>
  <c r="AL36" i="10" s="1"/>
  <c r="AP36" i="10" s="1"/>
  <c r="AQ37" i="10" s="1"/>
  <c r="AQ38" i="10" s="1"/>
  <c r="AE57" i="10"/>
  <c r="AE16" i="10" s="1"/>
  <c r="AD58" i="10"/>
  <c r="AD59" i="10" s="1"/>
  <c r="AD36" i="10"/>
  <c r="F31" i="3"/>
  <c r="C37" i="13"/>
  <c r="AF31" i="10"/>
  <c r="AF32" i="10" s="1"/>
  <c r="AF33" i="10" s="1"/>
  <c r="AF35" i="10" s="1"/>
  <c r="AE32" i="10"/>
  <c r="AE33" i="10" s="1"/>
  <c r="AE35" i="10" s="1"/>
  <c r="H13" i="4" l="1"/>
  <c r="H12" i="4"/>
  <c r="E10" i="4"/>
  <c r="G10" i="4" s="1"/>
  <c r="E11" i="4"/>
  <c r="G11" i="4" s="1"/>
  <c r="E19" i="13"/>
  <c r="E17" i="4" s="1"/>
  <c r="G17" i="4" s="1"/>
  <c r="B11" i="4"/>
  <c r="B10" i="4"/>
  <c r="C36" i="13"/>
  <c r="E38" i="13" s="1"/>
  <c r="AD60" i="10"/>
  <c r="AD64" i="10"/>
  <c r="AF57" i="10"/>
  <c r="AE58" i="10"/>
  <c r="AE59" i="10" s="1"/>
  <c r="AF36" i="10"/>
  <c r="AE36" i="10"/>
  <c r="H11" i="4" l="1"/>
  <c r="H10" i="4"/>
  <c r="E7" i="4"/>
  <c r="G7" i="4" s="1"/>
  <c r="E19" i="4"/>
  <c r="G19" i="4" s="1"/>
  <c r="E18" i="4"/>
  <c r="G18" i="4" s="1"/>
  <c r="B17" i="4"/>
  <c r="H17" i="4" s="1"/>
  <c r="E8" i="4"/>
  <c r="G8" i="4" s="1"/>
  <c r="E6" i="4"/>
  <c r="E31" i="13"/>
  <c r="B6" i="4"/>
  <c r="B8" i="4"/>
  <c r="B19" i="4"/>
  <c r="B18" i="4"/>
  <c r="B7" i="4"/>
  <c r="AF58" i="10"/>
  <c r="AF59" i="10" s="1"/>
  <c r="AF60" i="10" s="1"/>
  <c r="AF16" i="10"/>
  <c r="AE60" i="10"/>
  <c r="AE64" i="10"/>
  <c r="AG36" i="10"/>
  <c r="AH37" i="10" s="1"/>
  <c r="H7" i="4" l="1"/>
  <c r="H18" i="4"/>
  <c r="H19" i="4"/>
  <c r="H6" i="4"/>
  <c r="H8" i="4"/>
  <c r="H76" i="10"/>
  <c r="I76" i="10" s="1"/>
  <c r="G6" i="4"/>
  <c r="AF64" i="10"/>
  <c r="AG60" i="10"/>
  <c r="AX28" i="10" l="1"/>
  <c r="AX52" i="10" s="1"/>
  <c r="AX51" i="10"/>
  <c r="AX20" i="10"/>
  <c r="BA28" i="10"/>
  <c r="BA52" i="10" s="1"/>
  <c r="AY28" i="10"/>
  <c r="AY34" i="10" s="1"/>
  <c r="AZ28" i="10"/>
  <c r="AZ52" i="10" s="1"/>
  <c r="AZ20" i="10"/>
  <c r="AY51" i="10"/>
  <c r="BA20" i="10"/>
  <c r="BA51" i="10"/>
  <c r="AZ51" i="10"/>
  <c r="AY20" i="10"/>
  <c r="BA55" i="10" l="1"/>
  <c r="BA56" i="10" s="1"/>
  <c r="AX55" i="10"/>
  <c r="AX56" i="10" s="1"/>
  <c r="AX34" i="10"/>
  <c r="AZ55" i="10"/>
  <c r="AZ56" i="10" s="1"/>
  <c r="AZ34" i="10"/>
  <c r="BA34" i="10"/>
  <c r="AY52" i="10"/>
  <c r="AY55" i="10" s="1"/>
  <c r="AY56" i="10" s="1"/>
  <c r="AY21" i="10" s="1"/>
  <c r="BA21" i="10" l="1"/>
  <c r="AZ21" i="10"/>
  <c r="AX21" i="10"/>
  <c r="H57" i="10" l="1"/>
  <c r="H62" i="10" l="1"/>
  <c r="AM11" i="10" l="1"/>
  <c r="AM12" i="10" s="1"/>
  <c r="AM15" i="10" l="1"/>
  <c r="AM16" i="10" s="1"/>
  <c r="AM13" i="10"/>
  <c r="AN11" i="10"/>
  <c r="AN12" i="10" s="1"/>
  <c r="AN13" i="10" s="1"/>
  <c r="AM51" i="10" l="1"/>
  <c r="AM28" i="10"/>
  <c r="AM26" i="10"/>
  <c r="AM27" i="10" s="1"/>
  <c r="AN15" i="10"/>
  <c r="AN16" i="10" s="1"/>
  <c r="AO11" i="10"/>
  <c r="AO12" i="10" s="1"/>
  <c r="AO15" i="10" s="1"/>
  <c r="AM20" i="10"/>
  <c r="AM17" i="10"/>
  <c r="AM14" i="10"/>
  <c r="AN14" i="10"/>
  <c r="AN26" i="10"/>
  <c r="AM29" i="10" l="1"/>
  <c r="AN44" i="10" s="1"/>
  <c r="AM52" i="10"/>
  <c r="AM53" i="10" s="1"/>
  <c r="AN41" i="10"/>
  <c r="AN42" i="10"/>
  <c r="AM41" i="10"/>
  <c r="AM34" i="10"/>
  <c r="AM30" i="10"/>
  <c r="AL18" i="10"/>
  <c r="AO13" i="10"/>
  <c r="AP11" i="10"/>
  <c r="AP12" i="10" s="1"/>
  <c r="AP15" i="10" s="1"/>
  <c r="AN20" i="10"/>
  <c r="AN51" i="10"/>
  <c r="AN17" i="10"/>
  <c r="AN28" i="10"/>
  <c r="AM61" i="10"/>
  <c r="AM66" i="10" s="1"/>
  <c r="AO42" i="10"/>
  <c r="AN27" i="10"/>
  <c r="AO28" i="10"/>
  <c r="AO16" i="10"/>
  <c r="AO51" i="10"/>
  <c r="AM55" i="10" l="1"/>
  <c r="AM56" i="10" s="1"/>
  <c r="AM57" i="10" s="1"/>
  <c r="AM58" i="10" s="1"/>
  <c r="AM59" i="10" s="1"/>
  <c r="AM60" i="10" s="1"/>
  <c r="AM43" i="10"/>
  <c r="AO29" i="10"/>
  <c r="AO52" i="10"/>
  <c r="AO53" i="10" s="1"/>
  <c r="AN29" i="10"/>
  <c r="AO44" i="10" s="1"/>
  <c r="AN52" i="10"/>
  <c r="AN53" i="10" s="1"/>
  <c r="AL39" i="10"/>
  <c r="AM18" i="10"/>
  <c r="AO26" i="10"/>
  <c r="AO27" i="10" s="1"/>
  <c r="AP13" i="10"/>
  <c r="AP17" i="10" s="1"/>
  <c r="AO17" i="10"/>
  <c r="AO20" i="10"/>
  <c r="AO14" i="10"/>
  <c r="AQ11" i="10"/>
  <c r="AN30" i="10"/>
  <c r="AM62" i="10"/>
  <c r="AN61" i="10"/>
  <c r="AN62" i="10" s="1"/>
  <c r="AN34" i="10"/>
  <c r="AP51" i="10"/>
  <c r="AP28" i="10"/>
  <c r="AP16" i="10"/>
  <c r="AQ18" i="10" l="1"/>
  <c r="BF9" i="10"/>
  <c r="BF10" i="10" s="1"/>
  <c r="AM64" i="10"/>
  <c r="BG7" i="10"/>
  <c r="BG9" i="10" s="1"/>
  <c r="BF8" i="10"/>
  <c r="AN55" i="10"/>
  <c r="AN56" i="10" s="1"/>
  <c r="AN57" i="10" s="1"/>
  <c r="AN58" i="10" s="1"/>
  <c r="AN59" i="10" s="1"/>
  <c r="AN60" i="10" s="1"/>
  <c r="AN43" i="10"/>
  <c r="AM21" i="10"/>
  <c r="AO55" i="10"/>
  <c r="AO56" i="10" s="1"/>
  <c r="AQ6" i="10"/>
  <c r="AP29" i="10"/>
  <c r="AP52" i="10"/>
  <c r="AP53" i="10" s="1"/>
  <c r="AO41" i="10"/>
  <c r="AP42" i="10"/>
  <c r="AQ12" i="10"/>
  <c r="AQ13" i="10" s="1"/>
  <c r="AQ14" i="10" s="1"/>
  <c r="AM39" i="10"/>
  <c r="AO34" i="10"/>
  <c r="AO30" i="10"/>
  <c r="AN18" i="10"/>
  <c r="AO61" i="10"/>
  <c r="AO62" i="10" s="1"/>
  <c r="AP20" i="10"/>
  <c r="AP14" i="10"/>
  <c r="AP26" i="10"/>
  <c r="AP27" i="10" s="1"/>
  <c r="AN66" i="10"/>
  <c r="AP44" i="10"/>
  <c r="AO43" i="10"/>
  <c r="AQ19" i="10"/>
  <c r="AO18" i="10"/>
  <c r="BG8" i="10" l="1"/>
  <c r="BH7" i="10"/>
  <c r="BG11" i="10"/>
  <c r="BG13" i="10"/>
  <c r="BF13" i="10"/>
  <c r="BF11" i="10"/>
  <c r="AN64" i="10"/>
  <c r="AN21" i="10"/>
  <c r="AO57" i="10"/>
  <c r="AO58" i="10" s="1"/>
  <c r="AO59" i="10" s="1"/>
  <c r="AO64" i="10" s="1"/>
  <c r="AO21" i="10"/>
  <c r="AP43" i="10"/>
  <c r="AP55" i="10"/>
  <c r="AP56" i="10" s="1"/>
  <c r="AQ15" i="10"/>
  <c r="AN39" i="10"/>
  <c r="AM44" i="10"/>
  <c r="AQ42" i="10"/>
  <c r="AM42" i="10"/>
  <c r="AQ44" i="10"/>
  <c r="AO66" i="10"/>
  <c r="AP30" i="10"/>
  <c r="AQ39" i="10" s="1"/>
  <c r="AP34" i="10"/>
  <c r="AP41" i="10"/>
  <c r="AP61" i="10"/>
  <c r="AP66" i="10" s="1"/>
  <c r="BH13" i="10" l="1"/>
  <c r="BH28" i="10" s="1"/>
  <c r="BH29" i="10" s="1"/>
  <c r="BH9" i="10"/>
  <c r="BH10" i="10" s="1"/>
  <c r="BH11" i="10"/>
  <c r="BH12" i="10" s="1"/>
  <c r="BI7" i="10"/>
  <c r="BI9" i="10" s="1"/>
  <c r="BH8" i="10"/>
  <c r="BG10" i="10"/>
  <c r="BG15" i="10"/>
  <c r="BG18" i="10"/>
  <c r="BG24" i="10"/>
  <c r="BF51" i="10"/>
  <c r="BF12" i="10"/>
  <c r="BF26" i="10"/>
  <c r="BF55" i="10" s="1"/>
  <c r="BF56" i="10" s="1"/>
  <c r="BG12" i="10"/>
  <c r="BG26" i="10"/>
  <c r="BG55" i="10" s="1"/>
  <c r="BG56" i="10" s="1"/>
  <c r="BG51" i="10"/>
  <c r="BF15" i="10"/>
  <c r="BF18" i="10"/>
  <c r="BF24" i="10"/>
  <c r="BF14" i="10"/>
  <c r="BF28" i="10"/>
  <c r="BF29" i="10" s="1"/>
  <c r="BG14" i="10"/>
  <c r="BG28" i="10"/>
  <c r="BG29" i="10" s="1"/>
  <c r="AP57" i="10"/>
  <c r="AP58" i="10" s="1"/>
  <c r="AP59" i="10" s="1"/>
  <c r="AP21" i="10"/>
  <c r="AQ16" i="10"/>
  <c r="AO39" i="10"/>
  <c r="AP62" i="10"/>
  <c r="AO60" i="10"/>
  <c r="BH14" i="10" l="1"/>
  <c r="BI42" i="10" s="1"/>
  <c r="BH26" i="10"/>
  <c r="BH27" i="10" s="1"/>
  <c r="BH51" i="10"/>
  <c r="BH15" i="10"/>
  <c r="BH18" i="10"/>
  <c r="BH24" i="10"/>
  <c r="BJ7" i="10"/>
  <c r="BI8" i="10"/>
  <c r="BI11" i="10"/>
  <c r="BI13" i="10"/>
  <c r="BF16" i="10"/>
  <c r="BF41" i="10"/>
  <c r="BG42" i="10"/>
  <c r="BG27" i="10"/>
  <c r="BG52" i="10"/>
  <c r="BG53" i="10" s="1"/>
  <c r="BG34" i="10"/>
  <c r="BG19" i="10" s="1"/>
  <c r="BG20" i="10" s="1"/>
  <c r="BG22" i="10" s="1"/>
  <c r="BG25" i="10"/>
  <c r="BG30" i="10"/>
  <c r="BF25" i="10"/>
  <c r="BF34" i="10"/>
  <c r="BF19" i="10" s="1"/>
  <c r="BF20" i="10" s="1"/>
  <c r="BF22" i="10" s="1"/>
  <c r="BF30" i="10"/>
  <c r="BF27" i="10"/>
  <c r="BF52" i="10"/>
  <c r="BF53" i="10" s="1"/>
  <c r="BH42" i="10"/>
  <c r="BG41" i="10"/>
  <c r="AP60" i="10"/>
  <c r="AQ60" i="10" s="1"/>
  <c r="BE59" i="10" s="1"/>
  <c r="AP64" i="10"/>
  <c r="AQ59" i="10"/>
  <c r="AR59" i="10" s="1"/>
  <c r="AP18" i="10"/>
  <c r="BJ9" i="10" l="1"/>
  <c r="BJ13" i="10"/>
  <c r="BH41" i="10"/>
  <c r="BG16" i="10"/>
  <c r="BH55" i="10"/>
  <c r="BH56" i="10" s="1"/>
  <c r="BH52" i="10"/>
  <c r="BH53" i="10" s="1"/>
  <c r="BH30" i="10"/>
  <c r="BG39" i="10" s="1"/>
  <c r="BH25" i="10"/>
  <c r="BH43" i="10" s="1"/>
  <c r="BH34" i="10"/>
  <c r="BI14" i="10"/>
  <c r="BI28" i="10"/>
  <c r="BI29" i="10" s="1"/>
  <c r="BI51" i="10"/>
  <c r="BI26" i="10"/>
  <c r="BI12" i="10"/>
  <c r="BI18" i="10"/>
  <c r="BI10" i="10"/>
  <c r="BI24" i="10"/>
  <c r="BI15" i="10"/>
  <c r="BK7" i="10"/>
  <c r="BJ8" i="10"/>
  <c r="BJ11" i="10"/>
  <c r="BG61" i="10"/>
  <c r="BG62" i="10" s="1"/>
  <c r="BG64" i="10" s="1"/>
  <c r="BF61" i="10"/>
  <c r="BF66" i="10" s="1"/>
  <c r="BG43" i="10"/>
  <c r="BH44" i="10"/>
  <c r="BF39" i="10"/>
  <c r="BG44" i="10"/>
  <c r="BF43" i="10"/>
  <c r="AR61" i="10"/>
  <c r="BE60" i="10" s="1"/>
  <c r="AP39" i="10"/>
  <c r="BK9" i="10" l="1"/>
  <c r="BK13" i="10"/>
  <c r="BI44" i="10"/>
  <c r="BH61" i="10"/>
  <c r="BH66" i="10" s="1"/>
  <c r="BH19" i="10"/>
  <c r="BH20" i="10" s="1"/>
  <c r="BH22" i="10" s="1"/>
  <c r="BG66" i="10"/>
  <c r="BJ14" i="10"/>
  <c r="BJ28" i="10"/>
  <c r="BJ29" i="10" s="1"/>
  <c r="BI34" i="10"/>
  <c r="BI30" i="10"/>
  <c r="BI25" i="10"/>
  <c r="BJ15" i="10"/>
  <c r="BJ24" i="10"/>
  <c r="BJ18" i="10"/>
  <c r="BJ10" i="10"/>
  <c r="BI55" i="10"/>
  <c r="BI56" i="10" s="1"/>
  <c r="BI27" i="10"/>
  <c r="BI52" i="10"/>
  <c r="BI53" i="10" s="1"/>
  <c r="BL7" i="10"/>
  <c r="BL9" i="10" s="1"/>
  <c r="BK8" i="10"/>
  <c r="BK11" i="10"/>
  <c r="BH16" i="10"/>
  <c r="BI41" i="10"/>
  <c r="BJ42" i="10"/>
  <c r="BJ26" i="10"/>
  <c r="BJ12" i="10"/>
  <c r="BJ51" i="10"/>
  <c r="BF62" i="10"/>
  <c r="BF64" i="10" s="1"/>
  <c r="AQ40" i="10"/>
  <c r="BH62" i="10" l="1"/>
  <c r="BH64" i="10" s="1"/>
  <c r="BI19" i="10"/>
  <c r="BI20" i="10" s="1"/>
  <c r="BI22" i="10" s="1"/>
  <c r="BK14" i="10"/>
  <c r="BK28" i="10"/>
  <c r="BK29" i="10" s="1"/>
  <c r="BK42" i="10"/>
  <c r="BJ41" i="10"/>
  <c r="BJ55" i="10"/>
  <c r="BJ56" i="10" s="1"/>
  <c r="BJ27" i="10"/>
  <c r="BJ52" i="10"/>
  <c r="BJ53" i="10" s="1"/>
  <c r="BK12" i="10"/>
  <c r="BK26" i="10"/>
  <c r="BK51" i="10"/>
  <c r="BK24" i="10"/>
  <c r="BK18" i="10"/>
  <c r="BK10" i="10"/>
  <c r="BK15" i="10"/>
  <c r="BJ16" i="10" s="1"/>
  <c r="BJ25" i="10"/>
  <c r="BJ34" i="10"/>
  <c r="BJ30" i="10"/>
  <c r="BI39" i="10" s="1"/>
  <c r="BL8" i="10"/>
  <c r="BL13" i="10"/>
  <c r="BL11" i="10"/>
  <c r="BI61" i="10"/>
  <c r="BJ44" i="10"/>
  <c r="BI43" i="10"/>
  <c r="BI16" i="10"/>
  <c r="BH39" i="10"/>
  <c r="BL17" i="10" l="1"/>
  <c r="BL12" i="10"/>
  <c r="BL26" i="10"/>
  <c r="BL27" i="10" s="1"/>
  <c r="BJ19" i="10"/>
  <c r="BJ20" i="10" s="1"/>
  <c r="BJ22" i="10" s="1"/>
  <c r="BL28" i="10"/>
  <c r="BL29" i="10" s="1"/>
  <c r="BL14" i="10"/>
  <c r="BK44" i="10"/>
  <c r="BJ43" i="10"/>
  <c r="BK27" i="10"/>
  <c r="BK52" i="10"/>
  <c r="BK53" i="10" s="1"/>
  <c r="BK41" i="10"/>
  <c r="BL42" i="10"/>
  <c r="BI66" i="10"/>
  <c r="BI62" i="10"/>
  <c r="BI64" i="10" s="1"/>
  <c r="BJ61" i="10"/>
  <c r="BK30" i="10"/>
  <c r="BJ39" i="10" s="1"/>
  <c r="BK25" i="10"/>
  <c r="BK34" i="10"/>
  <c r="BL10" i="10"/>
  <c r="BL24" i="10"/>
  <c r="BL18" i="10"/>
  <c r="BL19" i="10" s="1"/>
  <c r="BL15" i="10"/>
  <c r="BL16" i="10" s="1"/>
  <c r="BK55" i="10"/>
  <c r="BK56" i="10" s="1"/>
  <c r="BK19" i="10" l="1"/>
  <c r="BK20" i="10" s="1"/>
  <c r="BK22" i="10" s="1"/>
  <c r="BJ66" i="10"/>
  <c r="BJ62" i="10"/>
  <c r="BJ64" i="10" s="1"/>
  <c r="BL44" i="10"/>
  <c r="BK43" i="10"/>
  <c r="BK61" i="10"/>
  <c r="BK16" i="10"/>
  <c r="BL25" i="10"/>
  <c r="BL30" i="10"/>
  <c r="BL39" i="10" s="1"/>
  <c r="BK39" i="10" l="1"/>
  <c r="BK66" i="10"/>
  <c r="BK62" i="10"/>
  <c r="BK64" i="10" l="1"/>
  <c r="BM64" i="10" s="1"/>
  <c r="BL40" i="10"/>
  <c r="H67" i="10" l="1"/>
  <c r="I68" i="10" l="1"/>
  <c r="H68" i="10"/>
  <c r="H70" i="10" s="1"/>
  <c r="I70" i="10" s="1"/>
  <c r="K7" i="8"/>
  <c r="H69" i="10" l="1"/>
  <c r="I69" i="10" s="1"/>
  <c r="I80" i="10" s="1"/>
  <c r="F15" i="8" s="1"/>
  <c r="K8" i="8"/>
</calcChain>
</file>

<file path=xl/sharedStrings.xml><?xml version="1.0" encoding="utf-8"?>
<sst xmlns="http://schemas.openxmlformats.org/spreadsheetml/2006/main" count="772" uniqueCount="517">
  <si>
    <t>Monthly cash budget</t>
  </si>
  <si>
    <t>January</t>
  </si>
  <si>
    <t>February</t>
  </si>
  <si>
    <t>March</t>
  </si>
  <si>
    <t>April</t>
  </si>
  <si>
    <t>May</t>
  </si>
  <si>
    <t>June</t>
  </si>
  <si>
    <t>July</t>
  </si>
  <si>
    <t>August</t>
  </si>
  <si>
    <t>September</t>
  </si>
  <si>
    <t>October</t>
  </si>
  <si>
    <t>November</t>
  </si>
  <si>
    <t>December</t>
  </si>
  <si>
    <t>Cash Receipts</t>
  </si>
  <si>
    <t>Borrowing</t>
  </si>
  <si>
    <t>Total Cash Receipts</t>
  </si>
  <si>
    <t>Cash Payments</t>
  </si>
  <si>
    <t>Rent Expense</t>
  </si>
  <si>
    <t>Utilities Expense</t>
  </si>
  <si>
    <t>Insurance Expense</t>
  </si>
  <si>
    <t>Salaries Expense: Shop manager (fixed cost)</t>
  </si>
  <si>
    <t>Wages Expense:</t>
  </si>
  <si>
    <t>Loan Repayment (Interest and Principle)</t>
  </si>
  <si>
    <t>Equipment Purchase</t>
  </si>
  <si>
    <t>Total Cash Payments</t>
  </si>
  <si>
    <t>Deficit / Surplus</t>
  </si>
  <si>
    <t>Opening Balance</t>
  </si>
  <si>
    <t>Closing Balance</t>
  </si>
  <si>
    <t>Total</t>
  </si>
  <si>
    <t>Marketing Expense</t>
  </si>
  <si>
    <t>Income Statement</t>
  </si>
  <si>
    <t>Revenue</t>
  </si>
  <si>
    <t>Gross Profit</t>
  </si>
  <si>
    <t>Less: Expenses</t>
  </si>
  <si>
    <t>Salaries Expense</t>
  </si>
  <si>
    <t>Wages Expense</t>
  </si>
  <si>
    <t>Interest Expense</t>
  </si>
  <si>
    <t>Depreciation Expense</t>
  </si>
  <si>
    <t>Total Expenses</t>
  </si>
  <si>
    <t>Net Profit</t>
  </si>
  <si>
    <t>$</t>
  </si>
  <si>
    <t>Balance Sheet</t>
  </si>
  <si>
    <t>Assets</t>
  </si>
  <si>
    <t>Current Assets</t>
  </si>
  <si>
    <t>Total Current Assets</t>
  </si>
  <si>
    <t>Non-Current Assets</t>
  </si>
  <si>
    <t>Total Non-Current Assets</t>
  </si>
  <si>
    <t>Total Assets</t>
  </si>
  <si>
    <t>Liabilities</t>
  </si>
  <si>
    <t>Total Current Liabilities</t>
  </si>
  <si>
    <t>Total Non-Current Liabilities</t>
  </si>
  <si>
    <t>Current Liabilities</t>
  </si>
  <si>
    <t>Non-Current Liabilities</t>
  </si>
  <si>
    <t>Total Liabilities</t>
  </si>
  <si>
    <t>Net Assets</t>
  </si>
  <si>
    <t>Equity</t>
  </si>
  <si>
    <t>Total Equity</t>
  </si>
  <si>
    <t>Cash</t>
  </si>
  <si>
    <t>Inventories</t>
  </si>
  <si>
    <t>Equipment</t>
  </si>
  <si>
    <t>Less: Accumulated Depreciation</t>
  </si>
  <si>
    <t>Accounts Payable</t>
  </si>
  <si>
    <t>Loan Payable</t>
  </si>
  <si>
    <t>Part 2</t>
  </si>
  <si>
    <t>Liquidity Ratios</t>
  </si>
  <si>
    <t>Current Ratio</t>
  </si>
  <si>
    <t>Acid Test Ratio</t>
  </si>
  <si>
    <t>Cash ratio</t>
  </si>
  <si>
    <t>Total Asset Turnover</t>
  </si>
  <si>
    <t>Return on Assets</t>
  </si>
  <si>
    <t>Gross Profit Margin</t>
  </si>
  <si>
    <t>Degree of Financial Leverage</t>
  </si>
  <si>
    <t>Burgers</t>
  </si>
  <si>
    <t>Kebabs</t>
  </si>
  <si>
    <t>Sole Trader</t>
  </si>
  <si>
    <t>Base Sales</t>
  </si>
  <si>
    <t>Cost</t>
  </si>
  <si>
    <t>Lifespan</t>
  </si>
  <si>
    <t>Garlic Bread</t>
  </si>
  <si>
    <t>Kitchens R Us</t>
  </si>
  <si>
    <t>First Name:</t>
  </si>
  <si>
    <t>Last Name:</t>
  </si>
  <si>
    <t>Student ID:</t>
  </si>
  <si>
    <t>1st Products</t>
  </si>
  <si>
    <t>What type of business will you operate?</t>
  </si>
  <si>
    <t>Business Type</t>
  </si>
  <si>
    <t>Franchise</t>
  </si>
  <si>
    <t>Where will this business be located?</t>
  </si>
  <si>
    <t>Price</t>
  </si>
  <si>
    <t>Business Location</t>
  </si>
  <si>
    <t>Existing</t>
  </si>
  <si>
    <t>CBD</t>
  </si>
  <si>
    <t>Foodcourt</t>
  </si>
  <si>
    <t>Suburb</t>
  </si>
  <si>
    <t>Marketing Sales Multiplier</t>
  </si>
  <si>
    <t>Please use Excel to access this program to ensure it functions properly. All curtin students have free access to Office 365 provided by the university. See https://students.curtin.edu.au/essentials/it/software/ for more details</t>
  </si>
  <si>
    <t>Wages</t>
  </si>
  <si>
    <t>Food Quality</t>
  </si>
  <si>
    <t>Wages Sales Multiplier</t>
  </si>
  <si>
    <t>Marketing</t>
  </si>
  <si>
    <t>Setup</t>
  </si>
  <si>
    <t>Monthly Sales Increase Multiplier</t>
  </si>
  <si>
    <t>Franchise Fee</t>
  </si>
  <si>
    <t>Monthly Rent</t>
  </si>
  <si>
    <t>Location Sales Multiplier</t>
  </si>
  <si>
    <t>Monthly Sales Increase Indicies</t>
  </si>
  <si>
    <t>Grills</t>
  </si>
  <si>
    <t>Hotplates</t>
  </si>
  <si>
    <t>Pizzas</t>
  </si>
  <si>
    <t>Pizza Ovens</t>
  </si>
  <si>
    <t>Monthly Running Costs</t>
  </si>
  <si>
    <t>Purchase Cost</t>
  </si>
  <si>
    <t>Monthly Production</t>
  </si>
  <si>
    <t>Startup Costs</t>
  </si>
  <si>
    <t>Jan</t>
  </si>
  <si>
    <t>Feb</t>
  </si>
  <si>
    <t>Mar</t>
  </si>
  <si>
    <t>Monthly Sales Variations</t>
  </si>
  <si>
    <t>Apr</t>
  </si>
  <si>
    <t>Jun</t>
  </si>
  <si>
    <t>Jul</t>
  </si>
  <si>
    <t>Aug</t>
  </si>
  <si>
    <t>Sep</t>
  </si>
  <si>
    <t>Oct</t>
  </si>
  <si>
    <t>Nov</t>
  </si>
  <si>
    <t>Dec</t>
  </si>
  <si>
    <t>Chosen</t>
  </si>
  <si>
    <t>Initial Sales</t>
  </si>
  <si>
    <t>Chosen Sales</t>
  </si>
  <si>
    <t>Chosen Setup</t>
  </si>
  <si>
    <t>Chosen Increase Indicies</t>
  </si>
  <si>
    <t>Chosen Franchise Fee</t>
  </si>
  <si>
    <t>Initial Sales Multipliers</t>
  </si>
  <si>
    <t>Sales Increase Indicies</t>
  </si>
  <si>
    <t>Sales before Variation</t>
  </si>
  <si>
    <t>Pricing Sales Multiplier &amp; Indicies</t>
  </si>
  <si>
    <t>Chosen Rent</t>
  </si>
  <si>
    <t>Chosen Multplier</t>
  </si>
  <si>
    <t>Chosen Indicies</t>
  </si>
  <si>
    <t>Number of Employees</t>
  </si>
  <si>
    <t>Monthly Sales Increase</t>
  </si>
  <si>
    <t>Sales Including Variation</t>
  </si>
  <si>
    <t>Employee Cost</t>
  </si>
  <si>
    <t>Food Costs</t>
  </si>
  <si>
    <t>Utilities Required</t>
  </si>
  <si>
    <t>Utilities</t>
  </si>
  <si>
    <t>Aussie</t>
  </si>
  <si>
    <t>Industrial</t>
  </si>
  <si>
    <t>Kommercial</t>
  </si>
  <si>
    <t>Production</t>
  </si>
  <si>
    <t>Running</t>
  </si>
  <si>
    <t>Chosen Cost</t>
  </si>
  <si>
    <t>Chosen Lifespan</t>
  </si>
  <si>
    <t>Chosen Production</t>
  </si>
  <si>
    <t>Chosen Running</t>
  </si>
  <si>
    <t>Initial Utilities Required</t>
  </si>
  <si>
    <t>Utilities Available</t>
  </si>
  <si>
    <t>Change in Utilities</t>
  </si>
  <si>
    <t>New Utilities Cost</t>
  </si>
  <si>
    <t>Utilities Running Cost</t>
  </si>
  <si>
    <t>Franchising Cost</t>
  </si>
  <si>
    <t>Cheap Price Sales Multiplier</t>
  </si>
  <si>
    <t xml:space="preserve">Setup Cost </t>
  </si>
  <si>
    <t>Personal Savings</t>
  </si>
  <si>
    <t>Personal Finances</t>
  </si>
  <si>
    <t>Bank Loan</t>
  </si>
  <si>
    <t>Investors</t>
  </si>
  <si>
    <t>Profit Share</t>
  </si>
  <si>
    <t>Amount still needed</t>
  </si>
  <si>
    <t>Repayments</t>
  </si>
  <si>
    <t>Loan Term</t>
  </si>
  <si>
    <t>Loan Interest</t>
  </si>
  <si>
    <t>Annuity Table figure</t>
  </si>
  <si>
    <t>Repayment</t>
  </si>
  <si>
    <t xml:space="preserve">Profits will be shared in proportion with your and their investment </t>
  </si>
  <si>
    <t>Private Investment</t>
  </si>
  <si>
    <t>Remaining Loan at end of year</t>
  </si>
  <si>
    <t>Yearly Interest</t>
  </si>
  <si>
    <t>Year repayment</t>
  </si>
  <si>
    <t>Startup Expenses</t>
  </si>
  <si>
    <t>Franchising Expense</t>
  </si>
  <si>
    <t>Amount of loan repaid</t>
  </si>
  <si>
    <t>Investors share of profits</t>
  </si>
  <si>
    <t>Owners share of profits</t>
  </si>
  <si>
    <t>What is the primary product will you sell?</t>
  </si>
  <si>
    <t>Total Repayments</t>
  </si>
  <si>
    <t>Please select a side dish</t>
  </si>
  <si>
    <t>Amount (MAXIMUM = $500,000)</t>
  </si>
  <si>
    <t>number per hour</t>
  </si>
  <si>
    <t>Number of months rent</t>
  </si>
  <si>
    <t xml:space="preserve">Almost a staple for some. Many orders may want to have a side of chips. </t>
  </si>
  <si>
    <t>Side Dish</t>
  </si>
  <si>
    <t>Cost per serve</t>
  </si>
  <si>
    <t>Cost per Utility</t>
  </si>
  <si>
    <t>Monthly production per unit</t>
  </si>
  <si>
    <t xml:space="preserve">A long time favourite. Should sell in moderate numbers. Has a good profit per unit. Requires investment in new conveyer ovens. </t>
  </si>
  <si>
    <t>Less popular and for the more health conscious. Has a shorter shelf life, resulting in a higher cost per unit to ensure freshness. However does not require investment in any new special items</t>
  </si>
  <si>
    <t>Choice</t>
  </si>
  <si>
    <t>Hot Chips</t>
  </si>
  <si>
    <t>Fresh Salad</t>
  </si>
  <si>
    <t>Chosen item</t>
  </si>
  <si>
    <t>Chosen Sales Proportion</t>
  </si>
  <si>
    <t>Chosen Cost per utility</t>
  </si>
  <si>
    <t>Chosen monthly production</t>
  </si>
  <si>
    <t>Price Bonus</t>
  </si>
  <si>
    <t>Sales proportion multiplier</t>
  </si>
  <si>
    <t>Final Sales proportion</t>
  </si>
  <si>
    <t>Sidedish sales</t>
  </si>
  <si>
    <t>Side Dish Revenue</t>
  </si>
  <si>
    <t>Side Dish Costs</t>
  </si>
  <si>
    <t>Side Dish Utilities Req</t>
  </si>
  <si>
    <t>SideDish Utilities available</t>
  </si>
  <si>
    <t>SideDish Change in Utilities</t>
  </si>
  <si>
    <t>SideDish New utilities Cost</t>
  </si>
  <si>
    <t>Employees required</t>
  </si>
  <si>
    <t>Total Utilities Cost</t>
  </si>
  <si>
    <t>SidedishUtility Depreciation</t>
  </si>
  <si>
    <t>total depreciation</t>
  </si>
  <si>
    <t>*</t>
  </si>
  <si>
    <t>final is accounts payable</t>
  </si>
  <si>
    <t>Cash budget FoodCosts</t>
  </si>
  <si>
    <t>final is remaining inventory</t>
  </si>
  <si>
    <t>Less: Cost of Sales</t>
  </si>
  <si>
    <t>final number is COS</t>
  </si>
  <si>
    <t>final for inventory sales jan</t>
  </si>
  <si>
    <t>side dish actual COS</t>
  </si>
  <si>
    <t>Purchases</t>
  </si>
  <si>
    <t>Sub-Totals</t>
  </si>
  <si>
    <t>Opening Inventory</t>
  </si>
  <si>
    <t>Cost of Sales</t>
  </si>
  <si>
    <t>TOTALS</t>
  </si>
  <si>
    <t>End of Month Closing Inventory</t>
  </si>
  <si>
    <t>Debt Ratio</t>
  </si>
  <si>
    <t>Debt/Equity Ratio</t>
  </si>
  <si>
    <t>Financial Stability Ratios</t>
  </si>
  <si>
    <t>Equity Ratio</t>
  </si>
  <si>
    <t>Utilities expenses will be paid for in the month after they fall due. All other expenses will be paid for immediately</t>
  </si>
  <si>
    <t>Additional Information</t>
  </si>
  <si>
    <t>Cash Sales</t>
  </si>
  <si>
    <t>Credit Sales</t>
  </si>
  <si>
    <t>Cash Sales (Primary)</t>
  </si>
  <si>
    <t>Credit Sales (Primary)</t>
  </si>
  <si>
    <t>Cash Sales (Side)</t>
  </si>
  <si>
    <t>Credit Sales (Side)</t>
  </si>
  <si>
    <t>Final is part of Acc Rec</t>
  </si>
  <si>
    <t>Accounts Receivable</t>
  </si>
  <si>
    <t>Combined Monthly Inventory Report</t>
  </si>
  <si>
    <t>Salaries Expense: Shop manager (Fixed cost)</t>
  </si>
  <si>
    <t>Age Group</t>
  </si>
  <si>
    <t>Age Group selections</t>
  </si>
  <si>
    <t>17-21</t>
  </si>
  <si>
    <t>22-26</t>
  </si>
  <si>
    <t>27-31</t>
  </si>
  <si>
    <t>Below 17</t>
  </si>
  <si>
    <t>Above 31</t>
  </si>
  <si>
    <t>Country</t>
  </si>
  <si>
    <t>Australia</t>
  </si>
  <si>
    <t>Malaysia</t>
  </si>
  <si>
    <t>Mauritius</t>
  </si>
  <si>
    <t>Singapore</t>
  </si>
  <si>
    <t>Other</t>
  </si>
  <si>
    <t>City</t>
  </si>
  <si>
    <t>United Arab Emirates</t>
  </si>
  <si>
    <t>Have you ever worked in the hospitality / food &amp; beverage industry?</t>
  </si>
  <si>
    <t>Age Choice</t>
  </si>
  <si>
    <t>Country Choice</t>
  </si>
  <si>
    <t>If YES:</t>
  </si>
  <si>
    <t>In what capacity?</t>
  </si>
  <si>
    <t>How many years experience?</t>
  </si>
  <si>
    <t>Years experience</t>
  </si>
  <si>
    <t>0 to 1 year</t>
  </si>
  <si>
    <t>1 to 3 years</t>
  </si>
  <si>
    <t>4 to 6 years</t>
  </si>
  <si>
    <t>6 years and above</t>
  </si>
  <si>
    <t>Experience Choice</t>
  </si>
  <si>
    <t>Please now decide on further Capital Investments you would like to make. Each is optional</t>
  </si>
  <si>
    <t>A large walk-in cool room will keep produce fresh for longer, reducing product waste. It will also allow you to store larger amounts of produce, allowing you to bulk-buy product at a discount</t>
  </si>
  <si>
    <t>Food Display Cabinets</t>
  </si>
  <si>
    <t>Your choice of food display cabinets will entice customers. A larger cabinet will allow you to display more product. The extra space will also allow faster food service</t>
  </si>
  <si>
    <t>Walking Fridge</t>
  </si>
  <si>
    <t>Initial Cost</t>
  </si>
  <si>
    <t>Monthly Running Cost</t>
  </si>
  <si>
    <t>Food Cost reduction</t>
  </si>
  <si>
    <t>Food Cost</t>
  </si>
  <si>
    <t>adjusted food cost</t>
  </si>
  <si>
    <t>Depreciation</t>
  </si>
  <si>
    <t>No Changes</t>
  </si>
  <si>
    <t>S</t>
  </si>
  <si>
    <t>M</t>
  </si>
  <si>
    <t>L</t>
  </si>
  <si>
    <t>One per</t>
  </si>
  <si>
    <t>Cost per cabinet</t>
  </si>
  <si>
    <t>Sale increase</t>
  </si>
  <si>
    <t>Food Purchases</t>
  </si>
  <si>
    <t>Sale Increase Indicies</t>
  </si>
  <si>
    <t>percentage increase</t>
  </si>
  <si>
    <t>Cabinets Required</t>
  </si>
  <si>
    <t>Cabinets Available</t>
  </si>
  <si>
    <t>Change in Cabinets</t>
  </si>
  <si>
    <t>Cabinet Cost</t>
  </si>
  <si>
    <t>Vehicle Cost</t>
  </si>
  <si>
    <t>Delivery</t>
  </si>
  <si>
    <t>none</t>
  </si>
  <si>
    <t>Vehicle</t>
  </si>
  <si>
    <t>Private</t>
  </si>
  <si>
    <t>UberEats</t>
  </si>
  <si>
    <t>Lower Sales and Sales growth as some potential customers want deliveries</t>
  </si>
  <si>
    <t>Delivery percentage</t>
  </si>
  <si>
    <t xml:space="preserve">$1.50 increase in food costs for 'Delivery Sales' to reimburse drivers
10% of sales will be delivery
Exposure &amp; convienience improves sales growth over time. 
</t>
  </si>
  <si>
    <t>Greatly increases exposure which will increase sales growth over time
20% of sales will be delivery
25% of revenue from 'Delivery sales' will be paid in fees to delivery service</t>
  </si>
  <si>
    <t>Sales Indicies</t>
  </si>
  <si>
    <t>Delivery Services</t>
  </si>
  <si>
    <t>Delivery Fees</t>
  </si>
  <si>
    <t>Cash Budget Title</t>
  </si>
  <si>
    <t>Delivery Vehicle Purchase</t>
  </si>
  <si>
    <t>Delivery Driver Expenses</t>
  </si>
  <si>
    <t>Delivery App Usage Expenses</t>
  </si>
  <si>
    <t>Total Deliveries</t>
  </si>
  <si>
    <t>Delivery Sales Vol Primary</t>
  </si>
  <si>
    <t>Delivery Sales Vol Side</t>
  </si>
  <si>
    <t>Vehicles Required</t>
  </si>
  <si>
    <t>Vehicles Available</t>
  </si>
  <si>
    <t>Change in Vehicles</t>
  </si>
  <si>
    <t>Vehicles Cost</t>
  </si>
  <si>
    <t>UberEats Fees</t>
  </si>
  <si>
    <t>Primary Sales Revenue</t>
  </si>
  <si>
    <t>Total Sales</t>
  </si>
  <si>
    <t>App Fee</t>
  </si>
  <si>
    <t>Number for Deliveries</t>
  </si>
  <si>
    <t>Vehicle Depreciation</t>
  </si>
  <si>
    <t>Source: https://glamox.com/gsx/solutions/industry-cold-storage-and-freezing-rooms</t>
  </si>
  <si>
    <t>Unless otherwise stated, images were taken from https://www.freepik.com/</t>
  </si>
  <si>
    <t>Source: https://www.foodnetwork.com/recipes/food-network-kitchen/the-best-garlic-bread-7194218</t>
  </si>
  <si>
    <t>Walk-in Cold Storage/Freezer</t>
  </si>
  <si>
    <t>Returns</t>
  </si>
  <si>
    <t>Returns and Refunds</t>
  </si>
  <si>
    <t>Gross Sales Revenue</t>
  </si>
  <si>
    <t>Less: Returns and Refunds</t>
  </si>
  <si>
    <t>From experience, approximately 70% of Sales are in Cash and 30% of Sales are on Credit. All Credit sales are received in the month following the purchase</t>
  </si>
  <si>
    <t xml:space="preserve">Net Sales </t>
  </si>
  <si>
    <t>Average Combined Inventory</t>
  </si>
  <si>
    <t>2020 From here</t>
  </si>
  <si>
    <t>new accounts payable</t>
  </si>
  <si>
    <t>NO COVID19</t>
  </si>
  <si>
    <t>AFTER COVID 19</t>
  </si>
  <si>
    <t>last is depreciation from last years items</t>
  </si>
  <si>
    <t>last is part of ACC REC</t>
  </si>
  <si>
    <t>For the 6 months ended 30th June 2019</t>
  </si>
  <si>
    <t>For the year ended 30th December 2019</t>
  </si>
  <si>
    <t>lowest 6mths</t>
  </si>
  <si>
    <t>amount req</t>
  </si>
  <si>
    <t>Retained Earnings - Owner</t>
  </si>
  <si>
    <t>Retained Earnings - Investors</t>
  </si>
  <si>
    <t>Capital - Owner</t>
  </si>
  <si>
    <t>Capital - Investors</t>
  </si>
  <si>
    <t>COVID-19 BELOW THIS</t>
  </si>
  <si>
    <t>Delivery Reimburse</t>
  </si>
  <si>
    <t>Marketing Cost</t>
  </si>
  <si>
    <t>Utilities (Delivery)</t>
  </si>
  <si>
    <t>TakeAway</t>
  </si>
  <si>
    <t>Yes</t>
  </si>
  <si>
    <t>No</t>
  </si>
  <si>
    <t>Combo</t>
  </si>
  <si>
    <t>choice</t>
  </si>
  <si>
    <t>Food Price Change</t>
  </si>
  <si>
    <t>Take Away Sales Value</t>
  </si>
  <si>
    <t>Delivery Sales Value</t>
  </si>
  <si>
    <t>TakeAwaySalesValue</t>
  </si>
  <si>
    <t>Utilities Expense Discount Text</t>
  </si>
  <si>
    <t>base sales</t>
  </si>
  <si>
    <t>covid actual sales take away</t>
  </si>
  <si>
    <t>takeaway revenue</t>
  </si>
  <si>
    <t>covid actual sales delivery</t>
  </si>
  <si>
    <t>delivery revenue</t>
  </si>
  <si>
    <t>Side Sales Proportion</t>
  </si>
  <si>
    <t>Side Dish Price</t>
  </si>
  <si>
    <t>TOTAL Depreciation expense</t>
  </si>
  <si>
    <t>FIXED @D68</t>
  </si>
  <si>
    <t>last is AC REC</t>
  </si>
  <si>
    <t>last is remaining inventory</t>
  </si>
  <si>
    <t>COVID Delivery Vehicle Purchase</t>
  </si>
  <si>
    <t>COVID Delivery Driver Expenses</t>
  </si>
  <si>
    <t>COVID Delivery App Usage Expenses</t>
  </si>
  <si>
    <t>vehicle depreciation</t>
  </si>
  <si>
    <t>primary sales employees</t>
  </si>
  <si>
    <t>total required employees</t>
  </si>
  <si>
    <t>max required employees</t>
  </si>
  <si>
    <t>chosen number of employees</t>
  </si>
  <si>
    <t>monthly wages</t>
  </si>
  <si>
    <t>jobkeeper pay# employees</t>
  </si>
  <si>
    <t>JobKeeperEligibleEmployees</t>
  </si>
  <si>
    <t>Jobkeeper payment</t>
  </si>
  <si>
    <t>business efficiency</t>
  </si>
  <si>
    <t>wages expense</t>
  </si>
  <si>
    <t>lost jobs</t>
  </si>
  <si>
    <t>primary COS</t>
  </si>
  <si>
    <t>food costs</t>
  </si>
  <si>
    <t>equipment</t>
  </si>
  <si>
    <t>accu Depn</t>
  </si>
  <si>
    <t>total vehicle</t>
  </si>
  <si>
    <t>accu depn vehicle</t>
  </si>
  <si>
    <t>2020 depn below</t>
  </si>
  <si>
    <t>TOTAL Depn</t>
  </si>
  <si>
    <t>last is depn from last years items</t>
  </si>
  <si>
    <t>walkin fridge depn</t>
  </si>
  <si>
    <t>sides takeaway sales</t>
  </si>
  <si>
    <t>sides takeaway revenue</t>
  </si>
  <si>
    <t>sides delivery sales</t>
  </si>
  <si>
    <t>sides delivery revenue</t>
  </si>
  <si>
    <t>sides food cost</t>
  </si>
  <si>
    <t>side dish monthly COS</t>
  </si>
  <si>
    <t>employees requried</t>
  </si>
  <si>
    <t>last year depn</t>
  </si>
  <si>
    <t>COPY OF PREVIOUS FOR OPTIMAL EMPLOYEE CALCULATIONS</t>
  </si>
  <si>
    <t>primary employees</t>
  </si>
  <si>
    <t>primary sales calc</t>
  </si>
  <si>
    <t>delivery employees required</t>
  </si>
  <si>
    <t>delivery total orders</t>
  </si>
  <si>
    <t>franchise fixed price</t>
  </si>
  <si>
    <t>franchise fixed quality</t>
  </si>
  <si>
    <t>Combo Bonus</t>
  </si>
  <si>
    <t>2019 Full Year Ratio Analysis</t>
  </si>
  <si>
    <t>Profitability Ratios</t>
  </si>
  <si>
    <t>PIE CHART DATA HERE</t>
  </si>
  <si>
    <t>Product Details</t>
  </si>
  <si>
    <t>Variable Costs</t>
  </si>
  <si>
    <t>Contribution Margin</t>
  </si>
  <si>
    <t>Financing</t>
  </si>
  <si>
    <t>Investor Capital</t>
  </si>
  <si>
    <t>Personal Capital</t>
  </si>
  <si>
    <t>Still required</t>
  </si>
  <si>
    <t>Owner Investment</t>
  </si>
  <si>
    <t>Student Details</t>
  </si>
  <si>
    <t>Work Yes No</t>
  </si>
  <si>
    <t>Please enter your business name:</t>
  </si>
  <si>
    <t>As part of your Business Simulation and report assessment, you will be required to play this simulation game where you will be setting up your own business. In the initial few tabs, you will need to make certain key decisions to do with the business setup and operations. You can then assess the performance of your business based on your inputs in the various reports that follows. Please note that maximizing profit is not the goal of this simulation, although you are free to do so if you wish</t>
  </si>
  <si>
    <t>(Pick a value between $4.00 - $20.00)</t>
  </si>
  <si>
    <t xml:space="preserve">How much will you spend on monthly advertising &amp; marketing? This will boost both initial sales and sales growth. There is rapidly increasing diminishing returns on the amount spent </t>
  </si>
  <si>
    <t>(Only include positive whole numbers)</t>
  </si>
  <si>
    <t>(The average wage for food and beverage staff is $20)</t>
  </si>
  <si>
    <t>(Please choose one of the following package you would like to purchase)</t>
  </si>
  <si>
    <t>The number of required packages will be automatically calculated based on sales</t>
  </si>
  <si>
    <t>Deep fryers will automatically be purchased depending on predicted sales</t>
  </si>
  <si>
    <t>Conveyer ovens will automatically be purchased depending on predicted sales</t>
  </si>
  <si>
    <t xml:space="preserve"> </t>
  </si>
  <si>
    <t>Net Profit Margin</t>
  </si>
  <si>
    <t>Final Mark</t>
  </si>
  <si>
    <t>Completion Mark</t>
  </si>
  <si>
    <t>Ratio Mark</t>
  </si>
  <si>
    <t>COVID TOTAL SALES</t>
  </si>
  <si>
    <t>(Pick a value between $2.00 - $8.00)</t>
  </si>
  <si>
    <t xml:space="preserve">Vehicle Cost = $10,000 for every 3000 delivery sales per month. 
Delivery costs covered by a delivery fee. 10% of sales will be delivery
Exposure &amp; convienience improves sales growth over time. </t>
  </si>
  <si>
    <t>Return on Equity</t>
  </si>
  <si>
    <t>Working Capital</t>
  </si>
  <si>
    <r>
      <t>Accounts Receivable Turnover</t>
    </r>
    <r>
      <rPr>
        <sz val="9"/>
        <color theme="1"/>
        <rFont val="Times New Roman"/>
        <family val="1"/>
      </rPr>
      <t xml:space="preserve">
As this is the first year of business, please use an assumed amount of $50,000 for the 2018 Account Receivable amount. 
Average account receivable = ([2018 Account Receivable + 2019 Account Receivable] / 2)</t>
    </r>
  </si>
  <si>
    <t>PLEASE USE THE INFORMATION FROM THE '2019 FULL YEAR CASH BUDGET', '2019 INVENTORY REPORTS', '2019 INCOME STATEMENT' AND '2019 BALANCE SHEET' TABS
EXPRESS ALL ANSWERS AS A DECIMAL (NOT FRACTION OR PERCENTAGE)
PLEASE ROUND ALL ANSWERS TO 4 DECIMAL PLACES
ONLY INCLUDE YOUR FINAL ANSWER. DO NOT INCLUDE ANY WORKINGS</t>
  </si>
  <si>
    <t>Starting Increase in Customers</t>
  </si>
  <si>
    <t>Monthly Increase in Customers</t>
  </si>
  <si>
    <t>Final Number</t>
  </si>
  <si>
    <t>Name</t>
  </si>
  <si>
    <t>the CBD</t>
  </si>
  <si>
    <t>a suburban retail area</t>
  </si>
  <si>
    <t>a shopping centre foodcourt</t>
  </si>
  <si>
    <t>COVID 12 Month Extension Calculations</t>
  </si>
  <si>
    <t>Takeaway/delivery modifiers</t>
  </si>
  <si>
    <t>12month COVID Restriction Easing Data</t>
  </si>
  <si>
    <t>Base sales</t>
  </si>
  <si>
    <t>Dine-in actual sales</t>
  </si>
  <si>
    <t>Dine-in Revenue</t>
  </si>
  <si>
    <t>Reopen</t>
  </si>
  <si>
    <t>Chosen Reopen Month</t>
  </si>
  <si>
    <t>Reopen Sales</t>
  </si>
  <si>
    <t>utilities cost</t>
  </si>
  <si>
    <t>depreciation</t>
  </si>
  <si>
    <t>Dine-in takeaway sales</t>
  </si>
  <si>
    <t>Dine-in takeaway Revenue</t>
  </si>
  <si>
    <t>side employees required</t>
  </si>
  <si>
    <t>side depreciation</t>
  </si>
  <si>
    <t>TOTAL depn exp</t>
  </si>
  <si>
    <t>accu depn</t>
  </si>
  <si>
    <t>SideDish COS</t>
  </si>
  <si>
    <t>total COS</t>
  </si>
  <si>
    <t>Vehicle Depn</t>
  </si>
  <si>
    <t>vehicle accu depn</t>
  </si>
  <si>
    <t>`</t>
  </si>
  <si>
    <t>halved payments</t>
  </si>
  <si>
    <t>employed</t>
  </si>
  <si>
    <t>wages costs</t>
  </si>
  <si>
    <t>delivery fees</t>
  </si>
  <si>
    <t>number FOR deliveries</t>
  </si>
  <si>
    <t>new vehicles</t>
  </si>
  <si>
    <t>Ubereats Fees</t>
  </si>
  <si>
    <t>total years (below)</t>
  </si>
  <si>
    <t>monthly foot traffic modifier</t>
  </si>
  <si>
    <t>total for this row</t>
  </si>
  <si>
    <t>© Curtin University, 2020. Please contact Wahseem Soobratty for distribution.</t>
  </si>
  <si>
    <t>Sales with Seasonal variation</t>
  </si>
  <si>
    <t>CovidJuly Choice</t>
  </si>
  <si>
    <t>First Number</t>
  </si>
  <si>
    <t>Last Number</t>
  </si>
  <si>
    <t>Redundant Employees</t>
  </si>
  <si>
    <t>Food Type</t>
  </si>
  <si>
    <t>FoodQualitySpend</t>
  </si>
  <si>
    <t>random</t>
  </si>
  <si>
    <t>2019ratiototalleft</t>
  </si>
  <si>
    <t>2020ratiototalright</t>
  </si>
  <si>
    <t>random2</t>
  </si>
  <si>
    <t>random3</t>
  </si>
  <si>
    <t>NO JULY VERSION (6 month)</t>
  </si>
  <si>
    <t>MAXIMUM $150,000 (This will be your opening Cash Balance)</t>
  </si>
  <si>
    <t>Staff will automatically be hired as a proportion to sales. How much will you pay staff per hour? Wages will impact employee turnover, which will have an impact on their level of training and efficiency, influencing initial sales and sales growth</t>
  </si>
  <si>
    <r>
      <t xml:space="preserve">Inventory Turnover (Combined Products)
</t>
    </r>
    <r>
      <rPr>
        <sz val="9"/>
        <rFont val="Times New Roman"/>
        <family val="1"/>
      </rPr>
      <t>NOTE: Please use the "average combined inventory" value from Tab “2019 Inventory Reports”</t>
    </r>
  </si>
  <si>
    <t>Hostess, Busser, Server</t>
  </si>
  <si>
    <t>Wildomar</t>
  </si>
  <si>
    <t>Kristi</t>
  </si>
  <si>
    <t>Bergdahl</t>
  </si>
  <si>
    <t>Insight-FULL Pizza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</si>
</sst>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4" formatCode="_(&quot;$&quot;* #,##0.00_);_(&quot;$&quot;* \(#,##0.00\);_(&quot;$&quot;* &quot;-&quot;??_);_(@_)"/>
    <numFmt numFmtId="43" formatCode="_(* #,##0.00_);_(* \(#,##0.00\);_(* &quot;-&quot;??_);_(@_)"/>
    <numFmt numFmtId="164" formatCode="&quot;$&quot;#,##0"/>
    <numFmt numFmtId="165" formatCode="&quot;$&quot;#,##0.00"/>
    <numFmt numFmtId="166" formatCode="0.00000000000000"/>
    <numFmt numFmtId="167" formatCode="_(&quot;$&quot;* #,##0_);_(&quot;$&quot;* \(#,##0\);_(&quot;$&quot;* &quot;-&quot;??_);_(@_)"/>
    <numFmt numFmtId="168" formatCode="000000000000"/>
    <numFmt numFmtId="169" formatCode="0.0000"/>
  </numFmts>
  <fonts count="45" x14ac:knownFonts="1">
    <font>
      <sz val="11"/>
      <color theme="1"/>
      <name val="Calibri"/>
      <family val="2"/>
      <scheme val="minor"/>
    </font>
    <font>
      <sz val="11"/>
      <color rgb="FFFF0000"/>
      <name val="Calibri"/>
      <family val="2"/>
      <scheme val="minor"/>
    </font>
    <font>
      <sz val="8"/>
      <name val="Calibri"/>
      <family val="2"/>
      <scheme val="minor"/>
    </font>
    <font>
      <sz val="10"/>
      <name val="Arial"/>
      <family val="2"/>
    </font>
    <font>
      <sz val="10"/>
      <name val="Times New Roman"/>
      <family val="1"/>
    </font>
    <font>
      <sz val="8"/>
      <name val="Arial"/>
      <family val="2"/>
    </font>
    <font>
      <sz val="8"/>
      <name val="Times New Roman"/>
      <family val="1"/>
    </font>
    <font>
      <b/>
      <sz val="11"/>
      <color theme="1"/>
      <name val="Calibri"/>
      <family val="2"/>
      <scheme val="minor"/>
    </font>
    <font>
      <sz val="10"/>
      <color theme="1"/>
      <name val="Calibri"/>
      <family val="2"/>
      <scheme val="minor"/>
    </font>
    <font>
      <sz val="9"/>
      <color theme="1"/>
      <name val="Calibri"/>
      <family val="2"/>
      <scheme val="minor"/>
    </font>
    <font>
      <b/>
      <sz val="11"/>
      <color rgb="FFFF0000"/>
      <name val="Calibri"/>
      <family val="2"/>
      <scheme val="minor"/>
    </font>
    <font>
      <b/>
      <sz val="20"/>
      <color rgb="FFFF0000"/>
      <name val="Calibri"/>
      <family val="2"/>
      <scheme val="minor"/>
    </font>
    <font>
      <sz val="8"/>
      <color rgb="FF000000"/>
      <name val="Tahoma"/>
      <family val="2"/>
    </font>
    <font>
      <b/>
      <sz val="18"/>
      <color rgb="FFFF0000"/>
      <name val="Calibri"/>
      <family val="2"/>
      <scheme val="minor"/>
    </font>
    <font>
      <sz val="18"/>
      <color theme="1"/>
      <name val="Calibri"/>
      <family val="2"/>
      <scheme val="minor"/>
    </font>
    <font>
      <b/>
      <sz val="12"/>
      <color theme="1"/>
      <name val="Calibri"/>
      <family val="2"/>
      <scheme val="minor"/>
    </font>
    <font>
      <b/>
      <sz val="14"/>
      <color theme="1"/>
      <name val="Calibri"/>
      <family val="2"/>
      <scheme val="minor"/>
    </font>
    <font>
      <sz val="12"/>
      <color theme="1"/>
      <name val="Calibri"/>
      <family val="2"/>
      <scheme val="minor"/>
    </font>
    <font>
      <sz val="8"/>
      <color rgb="FFFF0000"/>
      <name val="Times New Roman"/>
      <family val="1"/>
    </font>
    <font>
      <sz val="8"/>
      <color theme="4"/>
      <name val="Times New Roman"/>
      <family val="1"/>
    </font>
    <font>
      <sz val="11"/>
      <color theme="4"/>
      <name val="Calibri"/>
      <family val="2"/>
      <scheme val="minor"/>
    </font>
    <font>
      <sz val="14"/>
      <color theme="1"/>
      <name val="Calibri"/>
      <family val="2"/>
      <scheme val="minor"/>
    </font>
    <font>
      <sz val="14"/>
      <color theme="2"/>
      <name val="Calibri"/>
      <family val="2"/>
      <scheme val="minor"/>
    </font>
    <font>
      <sz val="8"/>
      <color theme="1" tint="0.34998626667073579"/>
      <name val="Calibri"/>
      <family val="2"/>
      <scheme val="minor"/>
    </font>
    <font>
      <sz val="9"/>
      <name val="Times New Roman"/>
      <family val="1"/>
    </font>
    <font>
      <sz val="9"/>
      <color theme="1"/>
      <name val="Times New Roman"/>
      <family val="1"/>
    </font>
    <font>
      <sz val="12"/>
      <name val="Arial"/>
      <family val="2"/>
    </font>
    <font>
      <sz val="12"/>
      <name val="Times New Roman"/>
      <family val="1"/>
    </font>
    <font>
      <sz val="12"/>
      <color theme="1"/>
      <name val="Times New Roman"/>
      <family val="1"/>
    </font>
    <font>
      <b/>
      <sz val="14"/>
      <name val="Times New Roman"/>
      <family val="1"/>
    </font>
    <font>
      <b/>
      <sz val="14"/>
      <name val="Arial"/>
      <family val="2"/>
    </font>
    <font>
      <b/>
      <sz val="14"/>
      <color theme="4"/>
      <name val="Times New Roman"/>
      <family val="1"/>
    </font>
    <font>
      <b/>
      <sz val="14"/>
      <color theme="4"/>
      <name val="Arial"/>
      <family val="2"/>
    </font>
    <font>
      <b/>
      <sz val="14"/>
      <color rgb="FFFF0000"/>
      <name val="Arial"/>
      <family val="2"/>
    </font>
    <font>
      <sz val="8"/>
      <color theme="1" tint="0.499984740745262"/>
      <name val="Calibri"/>
      <family val="2"/>
      <scheme val="minor"/>
    </font>
    <font>
      <sz val="11"/>
      <color theme="1"/>
      <name val="Calibri"/>
      <family val="2"/>
      <scheme val="minor"/>
    </font>
    <font>
      <sz val="11"/>
      <color theme="2"/>
      <name val="Calibri"/>
      <family val="2"/>
      <scheme val="minor"/>
    </font>
    <font>
      <b/>
      <sz val="11"/>
      <color theme="2"/>
      <name val="Calibri"/>
      <family val="2"/>
      <scheme val="minor"/>
    </font>
    <font>
      <sz val="8"/>
      <color theme="2"/>
      <name val="Times New Roman"/>
      <family val="1"/>
    </font>
    <font>
      <b/>
      <sz val="14"/>
      <color theme="2"/>
      <name val="Times New Roman"/>
      <family val="1"/>
    </font>
    <font>
      <sz val="18"/>
      <color theme="2"/>
      <name val="Calibri"/>
      <family val="2"/>
      <scheme val="minor"/>
    </font>
    <font>
      <b/>
      <u/>
      <sz val="11"/>
      <color rgb="FFFF0000"/>
      <name val="Calibri"/>
      <family val="2"/>
      <scheme val="minor"/>
    </font>
    <font>
      <sz val="8"/>
      <color theme="1"/>
      <name val="Calibri"/>
      <family val="2"/>
      <scheme val="minor"/>
    </font>
    <font>
      <strike/>
      <sz val="12"/>
      <color theme="1"/>
      <name val="Calibri"/>
      <family val="2"/>
      <scheme val="minor"/>
    </font>
    <font>
      <strike/>
      <sz val="11"/>
      <color theme="1"/>
      <name val="Calibri"/>
      <family val="2"/>
      <scheme val="minor"/>
    </font>
  </fonts>
  <fills count="23">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theme="9"/>
        <bgColor indexed="64"/>
      </patternFill>
    </fill>
    <fill>
      <patternFill patternType="solid">
        <fgColor rgb="FFFFF7E1"/>
        <bgColor indexed="64"/>
      </patternFill>
    </fill>
    <fill>
      <patternFill patternType="solid">
        <fgColor theme="7" tint="0.39997558519241921"/>
        <bgColor indexed="64"/>
      </patternFill>
    </fill>
    <fill>
      <patternFill patternType="solid">
        <fgColor rgb="FFB17ED8"/>
        <bgColor indexed="64"/>
      </patternFill>
    </fill>
    <fill>
      <patternFill patternType="solid">
        <fgColor theme="5" tint="-0.249977111117893"/>
        <bgColor indexed="64"/>
      </patternFill>
    </fill>
    <fill>
      <patternFill patternType="solid">
        <fgColor theme="7"/>
        <bgColor indexed="64"/>
      </patternFill>
    </fill>
    <fill>
      <patternFill patternType="solid">
        <fgColor rgb="FF00B05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double">
        <color theme="1" tint="0.499984740745262"/>
      </right>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double">
        <color theme="1" tint="0.499984740745262"/>
      </left>
      <right/>
      <top/>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3" fillId="0" borderId="0"/>
    <xf numFmtId="44" fontId="35" fillId="0" borderId="0" applyFont="0" applyFill="0" applyBorder="0" applyAlignment="0" applyProtection="0"/>
  </cellStyleXfs>
  <cellXfs count="225">
    <xf numFmtId="0" fontId="0" fillId="0" borderId="0" xfId="0"/>
    <xf numFmtId="0" fontId="0" fillId="3" borderId="0" xfId="0" applyFill="1"/>
    <xf numFmtId="164" fontId="0" fillId="3" borderId="0" xfId="0" applyNumberFormat="1" applyFill="1"/>
    <xf numFmtId="165" fontId="0" fillId="3" borderId="0" xfId="0" applyNumberFormat="1" applyFill="1"/>
    <xf numFmtId="0" fontId="10" fillId="3" borderId="0" xfId="0" applyFont="1" applyFill="1"/>
    <xf numFmtId="0" fontId="7" fillId="3" borderId="0" xfId="0" applyFont="1" applyFill="1"/>
    <xf numFmtId="0" fontId="0" fillId="3" borderId="0" xfId="0" applyFill="1" applyAlignment="1">
      <alignment horizontal="right"/>
    </xf>
    <xf numFmtId="0" fontId="0" fillId="3" borderId="0" xfId="0" applyFill="1" applyAlignment="1">
      <alignment wrapText="1"/>
    </xf>
    <xf numFmtId="0" fontId="0" fillId="3" borderId="0" xfId="0" applyFill="1" applyAlignment="1">
      <alignment horizontal="left" wrapText="1"/>
    </xf>
    <xf numFmtId="0" fontId="0" fillId="3" borderId="2" xfId="0" applyFill="1" applyBorder="1"/>
    <xf numFmtId="0" fontId="0" fillId="3" borderId="3" xfId="0" applyFill="1" applyBorder="1"/>
    <xf numFmtId="0" fontId="0" fillId="2" borderId="1" xfId="0" applyFill="1" applyBorder="1" applyProtection="1">
      <protection locked="0"/>
    </xf>
    <xf numFmtId="0" fontId="0" fillId="3" borderId="0" xfId="0" applyFill="1" applyAlignment="1">
      <alignment horizontal="center"/>
    </xf>
    <xf numFmtId="0" fontId="14" fillId="3" borderId="0" xfId="0" applyFont="1" applyFill="1"/>
    <xf numFmtId="0" fontId="0" fillId="3" borderId="0" xfId="0" applyFill="1" applyAlignment="1">
      <alignment horizontal="left"/>
    </xf>
    <xf numFmtId="0" fontId="7" fillId="3" borderId="0" xfId="0" applyFont="1" applyFill="1" applyAlignment="1">
      <alignment horizontal="center"/>
    </xf>
    <xf numFmtId="44" fontId="0" fillId="3" borderId="0" xfId="0" applyNumberFormat="1" applyFill="1"/>
    <xf numFmtId="44" fontId="7" fillId="3" borderId="0" xfId="0" applyNumberFormat="1" applyFont="1" applyFill="1"/>
    <xf numFmtId="0" fontId="11" fillId="3" borderId="0" xfId="0" applyFont="1" applyFill="1"/>
    <xf numFmtId="0" fontId="7" fillId="3" borderId="15" xfId="0" applyFont="1" applyFill="1" applyBorder="1" applyAlignment="1">
      <alignment horizontal="center"/>
    </xf>
    <xf numFmtId="0" fontId="0" fillId="3" borderId="2" xfId="0" applyFill="1" applyBorder="1" applyAlignment="1">
      <alignment horizontal="left" indent="3"/>
    </xf>
    <xf numFmtId="0" fontId="15" fillId="3" borderId="2" xfId="0" applyFont="1" applyFill="1" applyBorder="1" applyAlignment="1">
      <alignment horizontal="left"/>
    </xf>
    <xf numFmtId="0" fontId="0" fillId="3" borderId="2" xfId="0" applyFill="1" applyBorder="1" applyAlignment="1">
      <alignment horizontal="left"/>
    </xf>
    <xf numFmtId="0" fontId="0" fillId="3" borderId="18" xfId="0" applyFill="1" applyBorder="1"/>
    <xf numFmtId="0" fontId="15" fillId="3" borderId="15" xfId="0" applyFont="1" applyFill="1" applyBorder="1" applyAlignment="1">
      <alignment horizontal="center"/>
    </xf>
    <xf numFmtId="0" fontId="7" fillId="3" borderId="1" xfId="0" applyFont="1" applyFill="1" applyBorder="1" applyAlignment="1">
      <alignment horizontal="center"/>
    </xf>
    <xf numFmtId="0" fontId="15" fillId="3" borderId="2" xfId="0" applyFont="1" applyFill="1" applyBorder="1"/>
    <xf numFmtId="0" fontId="0" fillId="3" borderId="22" xfId="0" applyFill="1" applyBorder="1"/>
    <xf numFmtId="0" fontId="0" fillId="3" borderId="2" xfId="0" applyFill="1" applyBorder="1" applyAlignment="1">
      <alignment horizontal="left" indent="4"/>
    </xf>
    <xf numFmtId="0" fontId="15" fillId="3" borderId="0" xfId="0" applyFont="1" applyFill="1"/>
    <xf numFmtId="0" fontId="0" fillId="3" borderId="23" xfId="0" applyFill="1" applyBorder="1"/>
    <xf numFmtId="0" fontId="0" fillId="3" borderId="24" xfId="0" applyFill="1" applyBorder="1"/>
    <xf numFmtId="43" fontId="0" fillId="3" borderId="0" xfId="0" applyNumberFormat="1" applyFill="1"/>
    <xf numFmtId="0" fontId="16" fillId="3" borderId="2" xfId="0" applyFont="1" applyFill="1" applyBorder="1" applyAlignment="1">
      <alignment horizontal="center"/>
    </xf>
    <xf numFmtId="0" fontId="16" fillId="3" borderId="0" xfId="0" applyFont="1" applyFill="1" applyAlignment="1">
      <alignment horizontal="center"/>
    </xf>
    <xf numFmtId="0" fontId="16" fillId="3" borderId="22" xfId="0" applyFont="1" applyFill="1" applyBorder="1" applyAlignment="1">
      <alignment horizontal="center"/>
    </xf>
    <xf numFmtId="0" fontId="0" fillId="3" borderId="2" xfId="0" applyFill="1" applyBorder="1" applyAlignment="1">
      <alignment horizontal="left" indent="2"/>
    </xf>
    <xf numFmtId="43" fontId="0" fillId="3" borderId="22" xfId="0" applyNumberFormat="1" applyFill="1" applyBorder="1"/>
    <xf numFmtId="43" fontId="17" fillId="3" borderId="0" xfId="0" applyNumberFormat="1" applyFont="1" applyFill="1"/>
    <xf numFmtId="43" fontId="15" fillId="3" borderId="22" xfId="0" applyNumberFormat="1" applyFont="1" applyFill="1" applyBorder="1"/>
    <xf numFmtId="0" fontId="16" fillId="3" borderId="0" xfId="0" applyFont="1" applyFill="1"/>
    <xf numFmtId="0" fontId="21" fillId="3" borderId="0" xfId="0" applyFont="1" applyFill="1" applyAlignment="1">
      <alignment horizontal="right" vertical="center"/>
    </xf>
    <xf numFmtId="0" fontId="21" fillId="3" borderId="0" xfId="0" applyFont="1" applyFill="1"/>
    <xf numFmtId="0" fontId="21" fillId="2" borderId="25" xfId="0" applyFont="1" applyFill="1" applyBorder="1" applyProtection="1">
      <protection locked="0"/>
    </xf>
    <xf numFmtId="0" fontId="16" fillId="3" borderId="0" xfId="0" applyFont="1" applyFill="1" applyAlignment="1">
      <alignment horizontal="right" vertical="center"/>
    </xf>
    <xf numFmtId="0" fontId="23" fillId="3" borderId="0" xfId="0" applyFont="1" applyFill="1"/>
    <xf numFmtId="0" fontId="29" fillId="3" borderId="0" xfId="1" applyFont="1" applyFill="1"/>
    <xf numFmtId="0" fontId="30" fillId="3" borderId="0" xfId="1" applyFont="1" applyFill="1"/>
    <xf numFmtId="0" fontId="26" fillId="3" borderId="0" xfId="1" applyFont="1" applyFill="1" applyAlignment="1">
      <alignment vertical="center"/>
    </xf>
    <xf numFmtId="0" fontId="27" fillId="3" borderId="0" xfId="1" applyFont="1" applyFill="1" applyAlignment="1">
      <alignment vertical="center"/>
    </xf>
    <xf numFmtId="0" fontId="6" fillId="3" borderId="0" xfId="1" applyFont="1" applyFill="1"/>
    <xf numFmtId="0" fontId="31" fillId="3" borderId="0" xfId="1" applyFont="1" applyFill="1"/>
    <xf numFmtId="0" fontId="32" fillId="3" borderId="0" xfId="1" applyFont="1" applyFill="1"/>
    <xf numFmtId="0" fontId="28" fillId="3" borderId="0" xfId="1" applyFont="1" applyFill="1" applyAlignment="1">
      <alignment vertical="center"/>
    </xf>
    <xf numFmtId="0" fontId="20" fillId="3" borderId="0" xfId="0" applyFont="1" applyFill="1"/>
    <xf numFmtId="0" fontId="19" fillId="3" borderId="0" xfId="1" applyFont="1" applyFill="1"/>
    <xf numFmtId="0" fontId="18" fillId="3" borderId="0" xfId="1" applyFont="1" applyFill="1"/>
    <xf numFmtId="0" fontId="4" fillId="3" borderId="0" xfId="1" applyFont="1" applyFill="1"/>
    <xf numFmtId="0" fontId="17" fillId="3" borderId="0" xfId="0" applyFont="1" applyFill="1" applyAlignment="1">
      <alignment vertical="center"/>
    </xf>
    <xf numFmtId="0" fontId="28" fillId="3" borderId="0" xfId="1" applyFont="1" applyFill="1" applyAlignment="1">
      <alignment vertical="center" wrapText="1"/>
    </xf>
    <xf numFmtId="0" fontId="27" fillId="3" borderId="0" xfId="1" applyFont="1" applyFill="1" applyAlignment="1">
      <alignment wrapText="1"/>
    </xf>
    <xf numFmtId="0" fontId="17" fillId="3" borderId="0" xfId="0" applyFont="1" applyFill="1"/>
    <xf numFmtId="0" fontId="36" fillId="3" borderId="0" xfId="0" applyFont="1" applyFill="1"/>
    <xf numFmtId="44" fontId="36" fillId="3" borderId="0" xfId="0" applyNumberFormat="1" applyFont="1" applyFill="1"/>
    <xf numFmtId="44" fontId="37" fillId="3" borderId="0" xfId="0" applyNumberFormat="1" applyFont="1" applyFill="1"/>
    <xf numFmtId="0" fontId="7" fillId="3" borderId="2" xfId="0" applyFont="1" applyFill="1" applyBorder="1" applyAlignment="1">
      <alignment horizontal="left" indent="2"/>
    </xf>
    <xf numFmtId="0" fontId="38" fillId="3" borderId="0" xfId="1" applyFont="1" applyFill="1"/>
    <xf numFmtId="0" fontId="40" fillId="3" borderId="0" xfId="0" applyFont="1" applyFill="1"/>
    <xf numFmtId="0" fontId="22" fillId="3" borderId="0" xfId="0" applyFont="1" applyFill="1"/>
    <xf numFmtId="0" fontId="14" fillId="3" borderId="0" xfId="0" applyFont="1" applyFill="1" applyAlignment="1">
      <alignment vertical="center" wrapText="1"/>
    </xf>
    <xf numFmtId="0" fontId="0" fillId="5" borderId="0" xfId="0" applyFill="1" applyProtection="1">
      <protection locked="0"/>
    </xf>
    <xf numFmtId="0" fontId="0" fillId="9" borderId="0" xfId="0" applyFill="1" applyProtection="1">
      <protection locked="0"/>
    </xf>
    <xf numFmtId="0" fontId="0" fillId="10" borderId="0" xfId="0" applyFill="1" applyProtection="1">
      <protection locked="0"/>
    </xf>
    <xf numFmtId="0" fontId="0" fillId="0" borderId="0" xfId="0" applyProtection="1">
      <protection locked="0"/>
    </xf>
    <xf numFmtId="2" fontId="0" fillId="9" borderId="0" xfId="0" applyNumberFormat="1" applyFill="1" applyProtection="1">
      <protection locked="0"/>
    </xf>
    <xf numFmtId="166" fontId="0" fillId="9" borderId="0" xfId="0" applyNumberFormat="1" applyFill="1" applyProtection="1">
      <protection locked="0"/>
    </xf>
    <xf numFmtId="0" fontId="0" fillId="6" borderId="0" xfId="0" applyFill="1" applyProtection="1">
      <protection locked="0"/>
    </xf>
    <xf numFmtId="0" fontId="0" fillId="8" borderId="0" xfId="0" applyFill="1" applyProtection="1">
      <protection locked="0"/>
    </xf>
    <xf numFmtId="0" fontId="0" fillId="13" borderId="0" xfId="0" applyFill="1" applyProtection="1">
      <protection locked="0"/>
    </xf>
    <xf numFmtId="0" fontId="0" fillId="4" borderId="0" xfId="0" applyFill="1" applyProtection="1">
      <protection locked="0"/>
    </xf>
    <xf numFmtId="44" fontId="0" fillId="4" borderId="0" xfId="0" applyNumberFormat="1" applyFill="1" applyProtection="1">
      <protection locked="0"/>
    </xf>
    <xf numFmtId="0" fontId="0" fillId="7" borderId="0" xfId="0" applyFill="1" applyProtection="1">
      <protection locked="0"/>
    </xf>
    <xf numFmtId="0" fontId="0" fillId="11" borderId="0" xfId="0" applyFill="1" applyProtection="1">
      <protection locked="0"/>
    </xf>
    <xf numFmtId="0" fontId="0" fillId="14" borderId="0" xfId="0" applyFill="1" applyProtection="1">
      <protection locked="0"/>
    </xf>
    <xf numFmtId="0" fontId="0" fillId="12" borderId="0" xfId="0" applyFill="1" applyProtection="1">
      <protection locked="0"/>
    </xf>
    <xf numFmtId="165" fontId="0" fillId="11" borderId="0" xfId="0" applyNumberFormat="1" applyFill="1" applyProtection="1">
      <protection locked="0"/>
    </xf>
    <xf numFmtId="0" fontId="0" fillId="15" borderId="0" xfId="0" applyFill="1" applyProtection="1">
      <protection locked="0"/>
    </xf>
    <xf numFmtId="0" fontId="0" fillId="16" borderId="0" xfId="0" applyFill="1" applyProtection="1">
      <protection locked="0"/>
    </xf>
    <xf numFmtId="0" fontId="41" fillId="3" borderId="0" xfId="0" applyFont="1" applyFill="1" applyAlignment="1">
      <alignment horizontal="left"/>
    </xf>
    <xf numFmtId="0" fontId="41" fillId="3" borderId="0" xfId="0" applyFont="1" applyFill="1"/>
    <xf numFmtId="43" fontId="0" fillId="3" borderId="16" xfId="0" applyNumberFormat="1" applyFill="1" applyBorder="1"/>
    <xf numFmtId="43" fontId="7" fillId="3" borderId="16" xfId="0" applyNumberFormat="1" applyFont="1" applyFill="1" applyBorder="1"/>
    <xf numFmtId="43" fontId="15" fillId="3" borderId="16" xfId="0" applyNumberFormat="1" applyFont="1" applyFill="1" applyBorder="1"/>
    <xf numFmtId="0" fontId="0" fillId="3" borderId="19" xfId="0" applyFill="1" applyBorder="1"/>
    <xf numFmtId="43" fontId="15" fillId="3" borderId="0" xfId="0" applyNumberFormat="1" applyFont="1" applyFill="1"/>
    <xf numFmtId="43" fontId="1" fillId="3" borderId="22" xfId="0" applyNumberFormat="1" applyFont="1" applyFill="1" applyBorder="1"/>
    <xf numFmtId="0" fontId="0" fillId="4" borderId="2" xfId="0" applyFill="1" applyBorder="1" applyAlignment="1">
      <alignment horizontal="left" indent="3"/>
    </xf>
    <xf numFmtId="43" fontId="0" fillId="4" borderId="16" xfId="0" applyNumberFormat="1" applyFill="1" applyBorder="1"/>
    <xf numFmtId="43" fontId="7" fillId="4" borderId="16" xfId="0" applyNumberFormat="1" applyFont="1" applyFill="1" applyBorder="1"/>
    <xf numFmtId="0" fontId="15" fillId="4" borderId="2" xfId="0" applyFont="1" applyFill="1" applyBorder="1" applyAlignment="1">
      <alignment horizontal="left"/>
    </xf>
    <xf numFmtId="43" fontId="15" fillId="4" borderId="16" xfId="0" applyNumberFormat="1" applyFont="1" applyFill="1" applyBorder="1"/>
    <xf numFmtId="0" fontId="15" fillId="4" borderId="17" xfId="0" applyFont="1" applyFill="1" applyBorder="1"/>
    <xf numFmtId="0" fontId="0" fillId="4" borderId="2" xfId="0" applyFill="1" applyBorder="1"/>
    <xf numFmtId="43" fontId="0" fillId="3" borderId="16" xfId="0" applyNumberFormat="1" applyFill="1" applyBorder="1" applyAlignment="1">
      <alignment horizontal="center"/>
    </xf>
    <xf numFmtId="43" fontId="15" fillId="3" borderId="16" xfId="0" applyNumberFormat="1" applyFont="1" applyFill="1" applyBorder="1" applyAlignment="1">
      <alignment horizontal="center"/>
    </xf>
    <xf numFmtId="43" fontId="0" fillId="3" borderId="19" xfId="0" applyNumberFormat="1" applyFill="1" applyBorder="1" applyAlignment="1">
      <alignment horizontal="center"/>
    </xf>
    <xf numFmtId="43" fontId="7" fillId="4" borderId="15" xfId="0" applyNumberFormat="1" applyFont="1" applyFill="1" applyBorder="1" applyAlignment="1">
      <alignment horizontal="center"/>
    </xf>
    <xf numFmtId="43" fontId="0" fillId="4" borderId="16" xfId="0" applyNumberFormat="1" applyFill="1" applyBorder="1" applyAlignment="1">
      <alignment horizontal="center"/>
    </xf>
    <xf numFmtId="0" fontId="0" fillId="4" borderId="2" xfId="0" applyFill="1" applyBorder="1" applyAlignment="1">
      <alignment horizontal="left"/>
    </xf>
    <xf numFmtId="0" fontId="0" fillId="4" borderId="18" xfId="0" applyFill="1" applyBorder="1"/>
    <xf numFmtId="43" fontId="0" fillId="4" borderId="19" xfId="0" applyNumberFormat="1" applyFill="1" applyBorder="1"/>
    <xf numFmtId="43" fontId="7" fillId="4" borderId="19" xfId="0" applyNumberFormat="1" applyFont="1" applyFill="1" applyBorder="1"/>
    <xf numFmtId="0" fontId="7" fillId="3" borderId="16" xfId="0" applyFont="1" applyFill="1" applyBorder="1"/>
    <xf numFmtId="0" fontId="0" fillId="3" borderId="1" xfId="0" applyFill="1" applyBorder="1"/>
    <xf numFmtId="0" fontId="0" fillId="3" borderId="0" xfId="0" applyFill="1" applyAlignment="1">
      <alignment horizontal="left" indent="4"/>
    </xf>
    <xf numFmtId="0" fontId="0" fillId="4" borderId="16" xfId="0" applyFill="1" applyBorder="1"/>
    <xf numFmtId="0" fontId="7" fillId="4" borderId="16" xfId="0" applyFont="1" applyFill="1" applyBorder="1" applyAlignment="1">
      <alignment horizontal="center"/>
    </xf>
    <xf numFmtId="0" fontId="7" fillId="4" borderId="16" xfId="0" applyFont="1" applyFill="1" applyBorder="1"/>
    <xf numFmtId="44" fontId="21" fillId="11" borderId="0" xfId="0" applyNumberFormat="1" applyFont="1" applyFill="1"/>
    <xf numFmtId="0" fontId="0" fillId="4" borderId="2" xfId="0" applyFill="1" applyBorder="1" applyAlignment="1">
      <alignment horizontal="center"/>
    </xf>
    <xf numFmtId="0" fontId="7" fillId="4" borderId="0" xfId="0" applyFont="1" applyFill="1" applyAlignment="1">
      <alignment horizontal="center"/>
    </xf>
    <xf numFmtId="0" fontId="0" fillId="4" borderId="0" xfId="0" applyFill="1" applyAlignment="1">
      <alignment horizontal="center"/>
    </xf>
    <xf numFmtId="0" fontId="7" fillId="4" borderId="22" xfId="0" applyFont="1" applyFill="1" applyBorder="1" applyAlignment="1">
      <alignment horizontal="center"/>
    </xf>
    <xf numFmtId="0" fontId="0" fillId="4" borderId="2" xfId="0" applyFill="1" applyBorder="1" applyAlignment="1">
      <alignment horizontal="left" indent="4"/>
    </xf>
    <xf numFmtId="43" fontId="0" fillId="4" borderId="0" xfId="0" applyNumberFormat="1" applyFill="1"/>
    <xf numFmtId="43" fontId="0" fillId="4" borderId="22" xfId="0" applyNumberFormat="1" applyFill="1" applyBorder="1"/>
    <xf numFmtId="0" fontId="15" fillId="4" borderId="2" xfId="0" applyFont="1" applyFill="1" applyBorder="1"/>
    <xf numFmtId="43" fontId="15" fillId="4" borderId="22" xfId="0" applyNumberFormat="1" applyFont="1" applyFill="1" applyBorder="1"/>
    <xf numFmtId="43" fontId="15" fillId="4" borderId="0" xfId="0" applyNumberFormat="1" applyFont="1" applyFill="1"/>
    <xf numFmtId="43" fontId="1" fillId="4" borderId="22" xfId="0" applyNumberFormat="1" applyFont="1" applyFill="1" applyBorder="1"/>
    <xf numFmtId="0" fontId="0" fillId="4" borderId="22" xfId="0" applyFill="1" applyBorder="1" applyAlignment="1">
      <alignment horizontal="center"/>
    </xf>
    <xf numFmtId="0" fontId="7" fillId="4" borderId="2" xfId="0" applyFont="1" applyFill="1" applyBorder="1" applyAlignment="1">
      <alignment horizontal="left" indent="2"/>
    </xf>
    <xf numFmtId="0" fontId="0" fillId="4" borderId="2" xfId="0" applyFill="1" applyBorder="1" applyAlignment="1">
      <alignment horizontal="left" indent="2"/>
    </xf>
    <xf numFmtId="43" fontId="17" fillId="4" borderId="0" xfId="0" applyNumberFormat="1" applyFont="1" applyFill="1"/>
    <xf numFmtId="0" fontId="0" fillId="4" borderId="0" xfId="0" applyFill="1" applyAlignment="1">
      <alignment horizontal="left" indent="4"/>
    </xf>
    <xf numFmtId="0" fontId="15" fillId="4" borderId="0" xfId="0" applyFont="1" applyFill="1"/>
    <xf numFmtId="0" fontId="15" fillId="4" borderId="0" xfId="0" applyFont="1" applyFill="1" applyAlignment="1">
      <alignment horizontal="left"/>
    </xf>
    <xf numFmtId="0" fontId="0" fillId="4" borderId="0" xfId="0" applyFill="1" applyAlignment="1">
      <alignment horizontal="left"/>
    </xf>
    <xf numFmtId="0" fontId="0" fillId="4" borderId="0" xfId="0" applyFill="1"/>
    <xf numFmtId="0" fontId="0" fillId="4" borderId="22" xfId="0" applyFill="1" applyBorder="1"/>
    <xf numFmtId="165" fontId="7" fillId="17" borderId="27" xfId="0" applyNumberFormat="1" applyFont="1" applyFill="1" applyBorder="1" applyAlignment="1">
      <alignment horizontal="center"/>
    </xf>
    <xf numFmtId="164" fontId="7" fillId="17" borderId="27" xfId="0" applyNumberFormat="1" applyFont="1" applyFill="1" applyBorder="1" applyAlignment="1">
      <alignment horizontal="center"/>
    </xf>
    <xf numFmtId="0" fontId="0" fillId="18" borderId="0" xfId="0" applyFill="1" applyProtection="1">
      <protection locked="0"/>
    </xf>
    <xf numFmtId="0" fontId="0" fillId="19" borderId="0" xfId="0" applyFill="1" applyProtection="1">
      <protection locked="0"/>
    </xf>
    <xf numFmtId="44" fontId="0" fillId="19" borderId="0" xfId="2" applyFont="1" applyFill="1" applyProtection="1">
      <protection locked="0"/>
    </xf>
    <xf numFmtId="167" fontId="0" fillId="19" borderId="0" xfId="2" applyNumberFormat="1" applyFont="1" applyFill="1" applyProtection="1">
      <protection locked="0"/>
    </xf>
    <xf numFmtId="0" fontId="0" fillId="3" borderId="0" xfId="0" applyFill="1" applyAlignment="1">
      <alignment vertical="center"/>
    </xf>
    <xf numFmtId="0" fontId="30" fillId="3" borderId="0" xfId="1" applyFont="1" applyFill="1" applyAlignment="1">
      <alignment vertical="center"/>
    </xf>
    <xf numFmtId="0" fontId="38" fillId="3" borderId="0" xfId="1" applyFont="1" applyFill="1" applyAlignment="1">
      <alignment vertical="center"/>
    </xf>
    <xf numFmtId="0" fontId="39" fillId="3" borderId="0" xfId="1" applyFont="1" applyFill="1" applyAlignment="1">
      <alignment horizontal="left" vertical="center"/>
    </xf>
    <xf numFmtId="43" fontId="38" fillId="3" borderId="0" xfId="1" applyNumberFormat="1" applyFont="1" applyFill="1" applyAlignment="1">
      <alignment vertical="center"/>
    </xf>
    <xf numFmtId="0" fontId="39" fillId="3" borderId="0" xfId="1" applyFont="1" applyFill="1" applyAlignment="1">
      <alignment vertical="center"/>
    </xf>
    <xf numFmtId="0" fontId="16" fillId="3" borderId="0" xfId="0" applyFont="1" applyFill="1" applyAlignment="1">
      <alignment vertical="center"/>
    </xf>
    <xf numFmtId="0" fontId="10" fillId="3" borderId="0" xfId="0" applyFont="1" applyFill="1" applyAlignment="1">
      <alignment wrapText="1"/>
    </xf>
    <xf numFmtId="0" fontId="0" fillId="3" borderId="0" xfId="0" applyFill="1" applyProtection="1">
      <protection locked="0"/>
    </xf>
    <xf numFmtId="0" fontId="0" fillId="20" borderId="0" xfId="0" applyFill="1" applyProtection="1">
      <protection locked="0"/>
    </xf>
    <xf numFmtId="17" fontId="0" fillId="0" borderId="0" xfId="0" applyNumberFormat="1" applyProtection="1">
      <protection locked="0"/>
    </xf>
    <xf numFmtId="0" fontId="0" fillId="21" borderId="0" xfId="0" applyFill="1" applyProtection="1">
      <protection locked="0"/>
    </xf>
    <xf numFmtId="1" fontId="0" fillId="0" borderId="0" xfId="0" applyNumberFormat="1" applyProtection="1">
      <protection locked="0"/>
    </xf>
    <xf numFmtId="0" fontId="0" fillId="22" borderId="0" xfId="0" applyFill="1" applyProtection="1">
      <protection locked="0"/>
    </xf>
    <xf numFmtId="168" fontId="42" fillId="3" borderId="0" xfId="0" applyNumberFormat="1" applyFont="1" applyFill="1" applyAlignment="1">
      <alignment horizontal="left" vertical="top"/>
    </xf>
    <xf numFmtId="169" fontId="20" fillId="2" borderId="25" xfId="0" applyNumberFormat="1" applyFont="1" applyFill="1" applyBorder="1" applyProtection="1">
      <protection locked="0"/>
    </xf>
    <xf numFmtId="169" fontId="5" fillId="3" borderId="0" xfId="1" applyNumberFormat="1" applyFont="1" applyFill="1"/>
    <xf numFmtId="169" fontId="6" fillId="3" borderId="0" xfId="1" applyNumberFormat="1" applyFont="1" applyFill="1"/>
    <xf numFmtId="169" fontId="4" fillId="3" borderId="0" xfId="1" applyNumberFormat="1" applyFont="1" applyFill="1"/>
    <xf numFmtId="169" fontId="0" fillId="3" borderId="0" xfId="0" applyNumberFormat="1" applyFill="1"/>
    <xf numFmtId="0" fontId="17" fillId="0" borderId="0" xfId="0" applyFont="1" applyAlignment="1">
      <alignment horizontal="left" vertical="center" indent="1"/>
    </xf>
    <xf numFmtId="0" fontId="43" fillId="0" borderId="0" xfId="0" applyFont="1" applyAlignment="1">
      <alignment horizontal="left" vertical="center" indent="1"/>
    </xf>
    <xf numFmtId="0" fontId="44" fillId="3" borderId="0" xfId="0" applyFont="1" applyFill="1"/>
    <xf numFmtId="0" fontId="9" fillId="3" borderId="0" xfId="0" applyFont="1" applyFill="1"/>
    <xf numFmtId="0" fontId="8" fillId="3" borderId="0" xfId="0" applyFont="1" applyFill="1"/>
    <xf numFmtId="0" fontId="7" fillId="3" borderId="0" xfId="0" applyFont="1" applyFill="1" applyAlignment="1">
      <alignment horizontal="left" vertical="center"/>
    </xf>
    <xf numFmtId="0" fontId="34" fillId="3" borderId="0" xfId="0" applyFont="1" applyFill="1"/>
    <xf numFmtId="0" fontId="14" fillId="0" borderId="1" xfId="0" applyFont="1" applyBorder="1" applyAlignment="1" applyProtection="1">
      <alignment horizontal="center"/>
      <protection locked="0"/>
    </xf>
    <xf numFmtId="0" fontId="14" fillId="3" borderId="0" xfId="0" applyFont="1" applyFill="1" applyAlignment="1">
      <alignment horizontal="center" vertical="center" wrapText="1"/>
    </xf>
    <xf numFmtId="0" fontId="8" fillId="3" borderId="0" xfId="0" applyFont="1" applyFill="1" applyAlignment="1">
      <alignment horizontal="left" vertical="top" wrapText="1"/>
    </xf>
    <xf numFmtId="0" fontId="0" fillId="2" borderId="4" xfId="0" applyFill="1" applyBorder="1" applyAlignment="1" applyProtection="1">
      <alignment horizontal="center" vertical="center"/>
      <protection locked="0"/>
    </xf>
    <xf numFmtId="0" fontId="0" fillId="2" borderId="5" xfId="0" applyFill="1" applyBorder="1" applyAlignment="1" applyProtection="1">
      <alignment horizontal="center" vertical="center"/>
      <protection locked="0"/>
    </xf>
    <xf numFmtId="0" fontId="0" fillId="2" borderId="6" xfId="0" applyFill="1" applyBorder="1" applyAlignment="1" applyProtection="1">
      <alignment horizontal="center" vertical="center"/>
      <protection locked="0"/>
    </xf>
    <xf numFmtId="0" fontId="9" fillId="3" borderId="0" xfId="0" applyFont="1" applyFill="1" applyAlignment="1">
      <alignment horizontal="left" vertical="top" wrapText="1"/>
    </xf>
    <xf numFmtId="6" fontId="0" fillId="3" borderId="26" xfId="0" applyNumberFormat="1" applyFill="1" applyBorder="1" applyAlignment="1">
      <alignment horizontal="center"/>
    </xf>
    <xf numFmtId="6" fontId="0" fillId="3" borderId="0" xfId="0" applyNumberFormat="1" applyFill="1" applyAlignment="1">
      <alignment horizontal="center"/>
    </xf>
    <xf numFmtId="6" fontId="0" fillId="3" borderId="3" xfId="0" applyNumberFormat="1" applyFill="1" applyBorder="1" applyAlignment="1">
      <alignment horizontal="center"/>
    </xf>
    <xf numFmtId="0" fontId="0" fillId="3" borderId="0" xfId="0" applyFill="1" applyAlignment="1">
      <alignment horizontal="left" wrapText="1"/>
    </xf>
    <xf numFmtId="0" fontId="0" fillId="3" borderId="0" xfId="0" applyFill="1" applyAlignment="1">
      <alignment horizontal="left" vertical="center" wrapText="1"/>
    </xf>
    <xf numFmtId="0" fontId="41" fillId="3" borderId="0" xfId="0" applyFont="1" applyFill="1" applyAlignment="1">
      <alignment horizontal="left" vertical="center" wrapText="1"/>
    </xf>
    <xf numFmtId="0" fontId="41" fillId="3" borderId="0" xfId="0" applyFont="1" applyFill="1" applyAlignment="1">
      <alignment horizontal="left" wrapText="1"/>
    </xf>
    <xf numFmtId="164" fontId="0" fillId="3" borderId="26" xfId="0" applyNumberFormat="1" applyFill="1" applyBorder="1" applyAlignment="1">
      <alignment horizontal="center"/>
    </xf>
    <xf numFmtId="164" fontId="0" fillId="3" borderId="0" xfId="0" applyNumberFormat="1" applyFill="1" applyAlignment="1">
      <alignment horizontal="center"/>
    </xf>
    <xf numFmtId="164" fontId="0" fillId="3" borderId="3" xfId="0" applyNumberFormat="1" applyFill="1" applyBorder="1" applyAlignment="1">
      <alignment horizontal="center"/>
    </xf>
    <xf numFmtId="0" fontId="0" fillId="3" borderId="26" xfId="0" applyFill="1" applyBorder="1" applyAlignment="1">
      <alignment horizontal="center"/>
    </xf>
    <xf numFmtId="0" fontId="0" fillId="3" borderId="0" xfId="0" applyFill="1" applyAlignment="1">
      <alignment horizontal="center"/>
    </xf>
    <xf numFmtId="0" fontId="0" fillId="3" borderId="3" xfId="0" applyFill="1" applyBorder="1" applyAlignment="1">
      <alignment horizontal="center"/>
    </xf>
    <xf numFmtId="0" fontId="8" fillId="3" borderId="0" xfId="0" applyFont="1" applyFill="1" applyAlignment="1">
      <alignment horizontal="left"/>
    </xf>
    <xf numFmtId="5" fontId="8" fillId="3" borderId="0" xfId="0" applyNumberFormat="1" applyFont="1" applyFill="1" applyAlignment="1">
      <alignment horizontal="left"/>
    </xf>
    <xf numFmtId="0" fontId="13" fillId="11" borderId="7" xfId="0" applyFont="1" applyFill="1" applyBorder="1" applyAlignment="1">
      <alignment horizontal="center" vertical="center"/>
    </xf>
    <xf numFmtId="0" fontId="13" fillId="11" borderId="8" xfId="0" applyFont="1" applyFill="1" applyBorder="1" applyAlignment="1">
      <alignment horizontal="center" vertical="center"/>
    </xf>
    <xf numFmtId="0" fontId="13" fillId="11" borderId="9" xfId="0" applyFont="1" applyFill="1" applyBorder="1" applyAlignment="1">
      <alignment horizontal="center" vertical="center"/>
    </xf>
    <xf numFmtId="0" fontId="13" fillId="11" borderId="10" xfId="0" applyFont="1" applyFill="1" applyBorder="1" applyAlignment="1">
      <alignment horizontal="center" vertical="center"/>
    </xf>
    <xf numFmtId="0" fontId="13" fillId="11" borderId="0" xfId="0" applyFont="1" applyFill="1" applyAlignment="1">
      <alignment horizontal="center" vertical="center"/>
    </xf>
    <xf numFmtId="0" fontId="13" fillId="11" borderId="11" xfId="0" applyFont="1" applyFill="1" applyBorder="1" applyAlignment="1">
      <alignment horizontal="center" vertical="center"/>
    </xf>
    <xf numFmtId="0" fontId="13" fillId="11" borderId="12" xfId="0" applyFont="1" applyFill="1" applyBorder="1" applyAlignment="1">
      <alignment horizontal="center" vertical="center"/>
    </xf>
    <xf numFmtId="0" fontId="13" fillId="11" borderId="13" xfId="0" applyFont="1" applyFill="1" applyBorder="1" applyAlignment="1">
      <alignment horizontal="center" vertical="center"/>
    </xf>
    <xf numFmtId="0" fontId="13" fillId="11" borderId="14" xfId="0" applyFont="1" applyFill="1" applyBorder="1" applyAlignment="1">
      <alignment horizontal="center" vertical="center"/>
    </xf>
    <xf numFmtId="0" fontId="16" fillId="3" borderId="0" xfId="0" applyFont="1" applyFill="1" applyAlignment="1">
      <alignment horizontal="center"/>
    </xf>
    <xf numFmtId="0" fontId="11" fillId="3" borderId="0" xfId="0" applyFont="1" applyFill="1" applyAlignment="1">
      <alignment horizontal="center"/>
    </xf>
    <xf numFmtId="0" fontId="0" fillId="3" borderId="0" xfId="0" applyFill="1" applyAlignment="1">
      <alignment horizontal="left"/>
    </xf>
    <xf numFmtId="0" fontId="0" fillId="3" borderId="0" xfId="0" applyFill="1" applyAlignment="1">
      <alignment wrapText="1"/>
    </xf>
    <xf numFmtId="165" fontId="0" fillId="3" borderId="0" xfId="0" applyNumberFormat="1" applyFill="1" applyAlignment="1">
      <alignment horizontal="left"/>
    </xf>
    <xf numFmtId="0" fontId="15" fillId="3" borderId="17" xfId="0" applyFont="1" applyFill="1" applyBorder="1" applyAlignment="1">
      <alignment horizontal="center"/>
    </xf>
    <xf numFmtId="0" fontId="15" fillId="3" borderId="20" xfId="0" applyFont="1" applyFill="1" applyBorder="1" applyAlignment="1">
      <alignment horizontal="center"/>
    </xf>
    <xf numFmtId="0" fontId="15" fillId="3" borderId="21" xfId="0" applyFont="1" applyFill="1" applyBorder="1" applyAlignment="1">
      <alignment horizontal="center"/>
    </xf>
    <xf numFmtId="0" fontId="15" fillId="3" borderId="2" xfId="0" applyFont="1" applyFill="1" applyBorder="1" applyAlignment="1">
      <alignment horizontal="center"/>
    </xf>
    <xf numFmtId="0" fontId="15" fillId="3" borderId="0" xfId="0" applyFont="1" applyFill="1" applyAlignment="1">
      <alignment horizontal="center"/>
    </xf>
    <xf numFmtId="0" fontId="15" fillId="3" borderId="22" xfId="0" applyFont="1" applyFill="1" applyBorder="1" applyAlignment="1">
      <alignment horizontal="center"/>
    </xf>
    <xf numFmtId="0" fontId="16" fillId="11" borderId="20" xfId="0" applyFont="1" applyFill="1" applyBorder="1" applyAlignment="1">
      <alignment horizontal="right"/>
    </xf>
    <xf numFmtId="0" fontId="11" fillId="3" borderId="0" xfId="0" applyFont="1" applyFill="1" applyAlignment="1">
      <alignment horizontal="center" vertical="center" wrapText="1"/>
    </xf>
    <xf numFmtId="0" fontId="16" fillId="3" borderId="17" xfId="0" applyFont="1" applyFill="1" applyBorder="1" applyAlignment="1">
      <alignment horizontal="center"/>
    </xf>
    <xf numFmtId="0" fontId="16" fillId="3" borderId="20" xfId="0" applyFont="1" applyFill="1" applyBorder="1" applyAlignment="1">
      <alignment horizontal="center"/>
    </xf>
    <xf numFmtId="0" fontId="16" fillId="3" borderId="21" xfId="0" applyFont="1" applyFill="1" applyBorder="1" applyAlignment="1">
      <alignment horizontal="center"/>
    </xf>
    <xf numFmtId="0" fontId="16" fillId="3" borderId="2" xfId="0" applyFont="1" applyFill="1" applyBorder="1" applyAlignment="1">
      <alignment horizontal="center"/>
    </xf>
    <xf numFmtId="0" fontId="16" fillId="3" borderId="22" xfId="0" applyFont="1" applyFill="1" applyBorder="1" applyAlignment="1">
      <alignment horizontal="center"/>
    </xf>
    <xf numFmtId="0" fontId="11" fillId="3" borderId="0" xfId="0" applyFont="1" applyFill="1" applyAlignment="1">
      <alignment horizontal="center" wrapText="1"/>
    </xf>
    <xf numFmtId="0" fontId="33" fillId="3" borderId="0" xfId="1" applyFont="1" applyFill="1" applyAlignment="1">
      <alignment horizontal="center" vertical="center" wrapText="1"/>
    </xf>
    <xf numFmtId="0" fontId="20" fillId="2" borderId="25" xfId="0" applyNumberFormat="1" applyFont="1" applyFill="1" applyBorder="1" applyProtection="1">
      <protection locked="0"/>
    </xf>
  </cellXfs>
  <cellStyles count="3">
    <cellStyle name="Currency" xfId="2" builtinId="4"/>
    <cellStyle name="Normal" xfId="0" builtinId="0"/>
    <cellStyle name="Normal 2" xfId="1" xr:uid="{00000000-0005-0000-0000-000002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00"/>
      <color rgb="FFB17ED8"/>
      <color rgb="FFFF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Breakdown </a:t>
            </a:r>
          </a:p>
          <a:p>
            <a:pPr>
              <a:defRPr/>
            </a:pPr>
            <a:r>
              <a:rPr lang="en-AU"/>
              <a:t>based</a:t>
            </a:r>
            <a:r>
              <a:rPr lang="en-AU" baseline="0"/>
              <a:t> on Price</a:t>
            </a:r>
            <a:endParaRPr lang="en-AU"/>
          </a:p>
        </c:rich>
      </c:tx>
      <c:layout>
        <c:manualLayout>
          <c:xMode val="edge"/>
          <c:yMode val="edge"/>
          <c:x val="0.64586061631369529"/>
          <c:y val="6.1334607247223137E-2"/>
        </c:manualLayout>
      </c:layout>
      <c:overlay val="1"/>
    </c:title>
    <c:autoTitleDeleted val="0"/>
    <c:plotArea>
      <c:layout/>
      <c:pieChart>
        <c:varyColors val="1"/>
        <c:ser>
          <c:idx val="0"/>
          <c:order val="0"/>
          <c:explosion val="10"/>
          <c:dPt>
            <c:idx val="1"/>
            <c:bubble3D val="0"/>
            <c:extLst>
              <c:ext xmlns:c16="http://schemas.microsoft.com/office/drawing/2014/chart" uri="{C3380CC4-5D6E-409C-BE32-E72D297353CC}">
                <c16:uniqueId val="{00000000-7AB1-46F9-A733-C435C572A5FF}"/>
              </c:ext>
            </c:extLst>
          </c:dPt>
          <c:dLbls>
            <c:spPr>
              <a:noFill/>
              <a:ln>
                <a:noFill/>
              </a:ln>
              <a:effectLst/>
            </c:spPr>
            <c:dLblPos val="ctr"/>
            <c:showLegendKey val="0"/>
            <c:showVal val="1"/>
            <c:showCatName val="0"/>
            <c:showSerName val="0"/>
            <c:showPercent val="0"/>
            <c:showBubbleSize val="0"/>
            <c:showLeaderLines val="1"/>
            <c:extLst>
              <c:ext xmlns:c15="http://schemas.microsoft.com/office/drawing/2012/chart" uri="{CE6537A1-D6FC-4f65-9D91-7224C49458BB}"/>
            </c:extLst>
          </c:dLbls>
          <c:cat>
            <c:strRef>
              <c:f>'(HIDE) Data Validation'!$A$82:$A$83</c:f>
              <c:strCache>
                <c:ptCount val="2"/>
                <c:pt idx="0">
                  <c:v>Variable Costs</c:v>
                </c:pt>
                <c:pt idx="1">
                  <c:v>Contribution Margin</c:v>
                </c:pt>
              </c:strCache>
            </c:strRef>
          </c:cat>
          <c:val>
            <c:numRef>
              <c:f>'(HIDE) Data Validation'!$B$82:$B$83</c:f>
              <c:numCache>
                <c:formatCode>_("$"* #,##0.00_);_("$"* \(#,##0.00\);_("$"* "-"??_);_(@_)</c:formatCode>
                <c:ptCount val="2"/>
                <c:pt idx="0">
                  <c:v>6.9</c:v>
                </c:pt>
                <c:pt idx="1">
                  <c:v>12.1</c:v>
                </c:pt>
              </c:numCache>
            </c:numRef>
          </c:val>
          <c:extLst>
            <c:ext xmlns:c16="http://schemas.microsoft.com/office/drawing/2014/chart" uri="{C3380CC4-5D6E-409C-BE32-E72D297353CC}">
              <c16:uniqueId val="{00000001-7AB1-46F9-A733-C435C572A5FF}"/>
            </c:ext>
          </c:extLst>
        </c:ser>
        <c:dLbls>
          <c:dLblPos val="ctr"/>
          <c:showLegendKey val="0"/>
          <c:showVal val="1"/>
          <c:showCatName val="0"/>
          <c:showSerName val="0"/>
          <c:showPercent val="0"/>
          <c:showBubbleSize val="0"/>
          <c:showLeaderLines val="1"/>
        </c:dLbls>
        <c:firstSliceAng val="0"/>
      </c:pieChart>
    </c:plotArea>
    <c:legend>
      <c:legendPos val="r"/>
      <c:layout>
        <c:manualLayout>
          <c:xMode val="edge"/>
          <c:yMode val="edge"/>
          <c:x val="0.67813278889606343"/>
          <c:y val="0.40757409957053703"/>
          <c:w val="0.28483823991498813"/>
          <c:h val="0.18485139840087317"/>
        </c:manualLayout>
      </c:layout>
      <c:overlay val="0"/>
    </c:legend>
    <c:plotVisOnly val="1"/>
    <c:dispBlanksAs val="gap"/>
    <c:showDLblsOverMax val="0"/>
  </c:chart>
  <c:spPr>
    <a:gradFill rotWithShape="1">
      <a:gsLst>
        <a:gs pos="0">
          <a:schemeClr val="dk1">
            <a:satMod val="103000"/>
            <a:lumMod val="102000"/>
            <a:tint val="94000"/>
          </a:schemeClr>
        </a:gs>
        <a:gs pos="50000">
          <a:schemeClr val="dk1">
            <a:satMod val="110000"/>
            <a:lumMod val="100000"/>
            <a:shade val="100000"/>
          </a:schemeClr>
        </a:gs>
        <a:gs pos="100000">
          <a:schemeClr val="dk1">
            <a:lumMod val="99000"/>
            <a:satMod val="120000"/>
            <a:shade val="78000"/>
          </a:schemeClr>
        </a:gs>
      </a:gsLst>
      <a:lin ang="5400000" scaled="0"/>
    </a:gradFill>
    <a:ln>
      <a:noFill/>
    </a:ln>
    <a:effectLst>
      <a:outerShdw blurRad="57150" dist="19050" dir="5400000" algn="ctr" rotWithShape="0">
        <a:srgbClr val="000000">
          <a:alpha val="63000"/>
        </a:srgbClr>
      </a:outerShdw>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AU"/>
              <a:t>Current Assets </a:t>
            </a:r>
          </a:p>
          <a:p>
            <a:pPr>
              <a:defRPr/>
            </a:pPr>
            <a:r>
              <a:rPr lang="en-AU"/>
              <a:t>vs </a:t>
            </a:r>
          </a:p>
          <a:p>
            <a:pPr>
              <a:defRPr/>
            </a:pPr>
            <a:r>
              <a:rPr lang="en-AU"/>
              <a:t>Non-Current Assets</a:t>
            </a:r>
          </a:p>
        </c:rich>
      </c:tx>
      <c:layout>
        <c:manualLayout>
          <c:xMode val="edge"/>
          <c:yMode val="edge"/>
          <c:x val="2.4604712440906937E-2"/>
          <c:y val="4.8085094209763757E-2"/>
        </c:manualLayout>
      </c:layout>
      <c:overlay val="1"/>
    </c:title>
    <c:autoTitleDeleted val="0"/>
    <c:plotArea>
      <c:layout>
        <c:manualLayout>
          <c:layoutTarget val="inner"/>
          <c:xMode val="edge"/>
          <c:yMode val="edge"/>
          <c:x val="0.23063870179076443"/>
          <c:y val="0.12127035518183149"/>
          <c:w val="0.54253770806250101"/>
          <c:h val="0.87872964481816851"/>
        </c:manualLayout>
      </c:layout>
      <c:pieChart>
        <c:varyColors val="1"/>
        <c:ser>
          <c:idx val="2"/>
          <c:order val="2"/>
          <c:dPt>
            <c:idx val="1"/>
            <c:bubble3D val="0"/>
            <c:explosion val="15"/>
            <c:extLst>
              <c:ext xmlns:c16="http://schemas.microsoft.com/office/drawing/2014/chart" uri="{C3380CC4-5D6E-409C-BE32-E72D297353CC}">
                <c16:uniqueId val="{00000000-E506-49FB-A361-C944BDE79B06}"/>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('2019 Balance Sheet'!$B$11,'2019 Balance Sheet'!$B$18)</c:f>
              <c:strCache>
                <c:ptCount val="2"/>
                <c:pt idx="0">
                  <c:v>Total Current Assets</c:v>
                </c:pt>
                <c:pt idx="1">
                  <c:v>Total Non-Current Assets</c:v>
                </c:pt>
              </c:strCache>
            </c:strRef>
          </c:cat>
          <c:val>
            <c:numRef>
              <c:f>('2019 Balance Sheet'!$E$11,'2019 Balance Sheet'!$E$18)</c:f>
              <c:numCache>
                <c:formatCode>_(* #,##0.00_);_(* \(#,##0.00\);_(* "-"??_);_(@_)</c:formatCode>
                <c:ptCount val="2"/>
                <c:pt idx="0">
                  <c:v>419317.84399999992</c:v>
                </c:pt>
                <c:pt idx="1">
                  <c:v>155456.86274509804</c:v>
                </c:pt>
              </c:numCache>
            </c:numRef>
          </c:val>
          <c:extLst>
            <c:ext xmlns:c16="http://schemas.microsoft.com/office/drawing/2014/chart" uri="{C3380CC4-5D6E-409C-BE32-E72D297353CC}">
              <c16:uniqueId val="{00000001-E506-49FB-A361-C944BDE79B06}"/>
            </c:ext>
          </c:extLst>
        </c:ser>
        <c:ser>
          <c:idx val="3"/>
          <c:order val="3"/>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('2019 Balance Sheet'!$B$11,'2019 Balance Sheet'!$B$18)</c:f>
              <c:strCache>
                <c:ptCount val="2"/>
                <c:pt idx="0">
                  <c:v>Total Current Assets</c:v>
                </c:pt>
                <c:pt idx="1">
                  <c:v>Total Non-Current Assets</c:v>
                </c:pt>
              </c:strCache>
            </c:strRef>
          </c:cat>
          <c:val>
            <c:numRef>
              <c:f>('2019 Balance Sheet'!$E$11,'2019 Balance Sheet'!$E$18)</c:f>
              <c:numCache>
                <c:formatCode>_(* #,##0.00_);_(* \(#,##0.00\);_(* "-"??_);_(@_)</c:formatCode>
                <c:ptCount val="2"/>
                <c:pt idx="0">
                  <c:v>419317.84399999992</c:v>
                </c:pt>
                <c:pt idx="1">
                  <c:v>155456.86274509804</c:v>
                </c:pt>
              </c:numCache>
            </c:numRef>
          </c:val>
          <c:extLst>
            <c:ext xmlns:c16="http://schemas.microsoft.com/office/drawing/2014/chart" uri="{C3380CC4-5D6E-409C-BE32-E72D297353CC}">
              <c16:uniqueId val="{00000002-E506-49FB-A361-C944BDE79B06}"/>
            </c:ext>
          </c:extLst>
        </c:ser>
        <c:ser>
          <c:idx val="1"/>
          <c:order val="1"/>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('2019 Balance Sheet'!$B$11,'2019 Balance Sheet'!$B$18)</c:f>
              <c:strCache>
                <c:ptCount val="2"/>
                <c:pt idx="0">
                  <c:v>Total Current Assets</c:v>
                </c:pt>
                <c:pt idx="1">
                  <c:v>Total Non-Current Assets</c:v>
                </c:pt>
              </c:strCache>
            </c:strRef>
          </c:cat>
          <c:val>
            <c:numRef>
              <c:f>('2019 Balance Sheet'!$E$11,'2019 Balance Sheet'!$E$18)</c:f>
              <c:numCache>
                <c:formatCode>_(* #,##0.00_);_(* \(#,##0.00\);_(* "-"??_);_(@_)</c:formatCode>
                <c:ptCount val="2"/>
                <c:pt idx="0">
                  <c:v>419317.84399999992</c:v>
                </c:pt>
                <c:pt idx="1">
                  <c:v>155456.86274509804</c:v>
                </c:pt>
              </c:numCache>
            </c:numRef>
          </c:val>
          <c:extLst>
            <c:ext xmlns:c16="http://schemas.microsoft.com/office/drawing/2014/chart" uri="{C3380CC4-5D6E-409C-BE32-E72D297353CC}">
              <c16:uniqueId val="{00000003-E506-49FB-A361-C944BDE79B06}"/>
            </c:ext>
          </c:extLst>
        </c:ser>
        <c:ser>
          <c:idx val="0"/>
          <c:order val="0"/>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('2019 Balance Sheet'!$B$11,'2019 Balance Sheet'!$B$18)</c:f>
              <c:strCache>
                <c:ptCount val="2"/>
                <c:pt idx="0">
                  <c:v>Total Current Assets</c:v>
                </c:pt>
                <c:pt idx="1">
                  <c:v>Total Non-Current Assets</c:v>
                </c:pt>
              </c:strCache>
            </c:strRef>
          </c:cat>
          <c:val>
            <c:numRef>
              <c:f>('2019 Balance Sheet'!$E$11,'2019 Balance Sheet'!$E$18)</c:f>
              <c:numCache>
                <c:formatCode>_(* #,##0.00_);_(* \(#,##0.00\);_(* "-"??_);_(@_)</c:formatCode>
                <c:ptCount val="2"/>
                <c:pt idx="0">
                  <c:v>419317.84399999992</c:v>
                </c:pt>
                <c:pt idx="1">
                  <c:v>155456.86274509804</c:v>
                </c:pt>
              </c:numCache>
            </c:numRef>
          </c:val>
          <c:extLst>
            <c:ext xmlns:c16="http://schemas.microsoft.com/office/drawing/2014/chart" uri="{C3380CC4-5D6E-409C-BE32-E72D297353CC}">
              <c16:uniqueId val="{00000004-E506-49FB-A361-C944BDE79B06}"/>
            </c:ext>
          </c:extLst>
        </c:ser>
        <c:dLbls>
          <c:dLblPos val="bestFit"/>
          <c:showLegendKey val="0"/>
          <c:showVal val="1"/>
          <c:showCatName val="1"/>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lgn="ctr">
              <a:defRPr/>
            </a:pPr>
            <a:r>
              <a:rPr lang="en-AU" sz="1800" b="1" i="0" baseline="0">
                <a:solidFill>
                  <a:schemeClr val="bg1"/>
                </a:solidFill>
                <a:effectLst/>
              </a:rPr>
              <a:t>Current Liabilities </a:t>
            </a:r>
            <a:endParaRPr lang="en-AU">
              <a:solidFill>
                <a:schemeClr val="bg1"/>
              </a:solidFill>
              <a:effectLst/>
            </a:endParaRPr>
          </a:p>
          <a:p>
            <a:pPr algn="ctr">
              <a:defRPr/>
            </a:pPr>
            <a:r>
              <a:rPr lang="en-AU" sz="1800" b="1" i="0" baseline="0">
                <a:solidFill>
                  <a:schemeClr val="bg1"/>
                </a:solidFill>
                <a:effectLst/>
              </a:rPr>
              <a:t>vs </a:t>
            </a:r>
            <a:endParaRPr lang="en-AU">
              <a:solidFill>
                <a:schemeClr val="bg1"/>
              </a:solidFill>
              <a:effectLst/>
            </a:endParaRPr>
          </a:p>
          <a:p>
            <a:pPr algn="ctr">
              <a:defRPr/>
            </a:pPr>
            <a:r>
              <a:rPr lang="en-AU" sz="1800" b="1" i="0" baseline="0">
                <a:solidFill>
                  <a:schemeClr val="bg1"/>
                </a:solidFill>
                <a:effectLst/>
              </a:rPr>
              <a:t>Non-Current Liabilities</a:t>
            </a:r>
            <a:endParaRPr lang="en-AU">
              <a:solidFill>
                <a:schemeClr val="bg1"/>
              </a:solidFill>
              <a:effectLst/>
            </a:endParaRPr>
          </a:p>
        </c:rich>
      </c:tx>
      <c:layout>
        <c:manualLayout>
          <c:xMode val="edge"/>
          <c:yMode val="edge"/>
          <c:x val="1.9319373882374868E-2"/>
          <c:y val="4.7679334575026121E-2"/>
        </c:manualLayout>
      </c:layout>
      <c:overlay val="1"/>
    </c:title>
    <c:autoTitleDeleted val="0"/>
    <c:plotArea>
      <c:layout>
        <c:manualLayout>
          <c:layoutTarget val="inner"/>
          <c:xMode val="edge"/>
          <c:yMode val="edge"/>
          <c:x val="0.21925595671234163"/>
          <c:y val="0.12077471618698808"/>
          <c:w val="0.53098982029857167"/>
          <c:h val="0.8792252838130119"/>
        </c:manualLayout>
      </c:layout>
      <c:pieChart>
        <c:varyColors val="1"/>
        <c:ser>
          <c:idx val="0"/>
          <c:order val="0"/>
          <c:dPt>
            <c:idx val="0"/>
            <c:bubble3D val="0"/>
            <c:explosion val="20"/>
            <c:spPr>
              <a:solidFill>
                <a:schemeClr val="accent6"/>
              </a:solidFill>
            </c:spPr>
            <c:extLst>
              <c:ext xmlns:c16="http://schemas.microsoft.com/office/drawing/2014/chart" uri="{C3380CC4-5D6E-409C-BE32-E72D297353CC}">
                <c16:uniqueId val="{00000001-BA25-4074-A940-30B015CC62E8}"/>
              </c:ext>
            </c:extLst>
          </c:dPt>
          <c:dPt>
            <c:idx val="1"/>
            <c:bubble3D val="0"/>
            <c:spPr>
              <a:solidFill>
                <a:srgbClr val="7030A0"/>
              </a:solidFill>
            </c:spPr>
            <c:extLst>
              <c:ext xmlns:c16="http://schemas.microsoft.com/office/drawing/2014/chart" uri="{C3380CC4-5D6E-409C-BE32-E72D297353CC}">
                <c16:uniqueId val="{00000003-BA25-4074-A940-30B015CC62E8}"/>
              </c:ext>
            </c:extLst>
          </c:dPt>
          <c:dLbls>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('2019 Balance Sheet'!$B$24,'2019 Balance Sheet'!$B$28)</c:f>
              <c:strCache>
                <c:ptCount val="2"/>
                <c:pt idx="0">
                  <c:v>Total Current Liabilities</c:v>
                </c:pt>
                <c:pt idx="1">
                  <c:v>Total Non-Current Liabilities</c:v>
                </c:pt>
              </c:strCache>
            </c:strRef>
          </c:cat>
          <c:val>
            <c:numRef>
              <c:f>('2019 Balance Sheet'!$E$24,'2019 Balance Sheet'!$E$28)</c:f>
              <c:numCache>
                <c:formatCode>_(* #,##0.00_);_(* \(#,##0.00\);_(* "-"??_);_(@_)</c:formatCode>
                <c:ptCount val="2"/>
                <c:pt idx="0">
                  <c:v>3200</c:v>
                </c:pt>
                <c:pt idx="1">
                  <c:v>116943.36</c:v>
                </c:pt>
              </c:numCache>
            </c:numRef>
          </c:val>
          <c:extLst>
            <c:ext xmlns:c16="http://schemas.microsoft.com/office/drawing/2014/chart" uri="{C3380CC4-5D6E-409C-BE32-E72D297353CC}">
              <c16:uniqueId val="{00000004-BA25-4074-A940-30B015CC62E8}"/>
            </c:ext>
          </c:extLst>
        </c:ser>
        <c:dLbls>
          <c:dLblPos val="bestFit"/>
          <c:showLegendKey val="0"/>
          <c:showVal val="1"/>
          <c:showCatName val="1"/>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3"/>
    </mc:Choice>
    <mc:Fallback>
      <c:style val="43"/>
    </mc:Fallback>
  </mc:AlternateContent>
  <c:chart>
    <c:autoTitleDeleted val="0"/>
    <c:plotArea>
      <c:layout/>
      <c:barChart>
        <c:barDir val="bar"/>
        <c:grouping val="clustered"/>
        <c:varyColors val="0"/>
        <c:ser>
          <c:idx val="0"/>
          <c:order val="0"/>
          <c:invertIfNegative val="0"/>
          <c:dPt>
            <c:idx val="3"/>
            <c:invertIfNegative val="0"/>
            <c:bubble3D val="0"/>
            <c:spPr>
              <a:solidFill>
                <a:srgbClr val="FF0000"/>
              </a:solidFill>
            </c:spPr>
            <c:extLst>
              <c:ext xmlns:c16="http://schemas.microsoft.com/office/drawing/2014/chart" uri="{C3380CC4-5D6E-409C-BE32-E72D297353CC}">
                <c16:uniqueId val="{00000001-889D-4705-A6E9-27C859097473}"/>
              </c:ext>
            </c:extLst>
          </c:dPt>
          <c:cat>
            <c:strRef>
              <c:f>'(HIDE) Data Validation'!$D$81:$D$84</c:f>
              <c:strCache>
                <c:ptCount val="4"/>
                <c:pt idx="0">
                  <c:v>Investor Capital</c:v>
                </c:pt>
                <c:pt idx="1">
                  <c:v>Bank Loan</c:v>
                </c:pt>
                <c:pt idx="2">
                  <c:v>Personal Capital</c:v>
                </c:pt>
                <c:pt idx="3">
                  <c:v>Still required</c:v>
                </c:pt>
              </c:strCache>
            </c:strRef>
          </c:cat>
          <c:val>
            <c:numRef>
              <c:f>'(HIDE) Data Validation'!$E$81:$E$84</c:f>
              <c:numCache>
                <c:formatCode>_("$"* #,##0_);_("$"* \(#,##0\);_("$"* "-"??_);_(@_)</c:formatCode>
                <c:ptCount val="4"/>
                <c:pt idx="0">
                  <c:v>0</c:v>
                </c:pt>
                <c:pt idx="1">
                  <c:v>142000</c:v>
                </c:pt>
                <c:pt idx="2">
                  <c:v>150000</c:v>
                </c:pt>
                <c:pt idx="3">
                  <c:v>0</c:v>
                </c:pt>
              </c:numCache>
            </c:numRef>
          </c:val>
          <c:extLst>
            <c:ext xmlns:c16="http://schemas.microsoft.com/office/drawing/2014/chart" uri="{C3380CC4-5D6E-409C-BE32-E72D297353CC}">
              <c16:uniqueId val="{00000002-889D-4705-A6E9-27C859097473}"/>
            </c:ext>
          </c:extLst>
        </c:ser>
        <c:dLbls>
          <c:showLegendKey val="0"/>
          <c:showVal val="0"/>
          <c:showCatName val="0"/>
          <c:showSerName val="0"/>
          <c:showPercent val="0"/>
          <c:showBubbleSize val="0"/>
        </c:dLbls>
        <c:gapWidth val="150"/>
        <c:axId val="224235520"/>
        <c:axId val="224225536"/>
      </c:barChart>
      <c:valAx>
        <c:axId val="224225536"/>
        <c:scaling>
          <c:orientation val="minMax"/>
        </c:scaling>
        <c:delete val="0"/>
        <c:axPos val="b"/>
        <c:majorGridlines/>
        <c:numFmt formatCode="_(&quot;$&quot;* #,##0_);_(&quot;$&quot;* \(#,##0\);_(&quot;$&quot;* &quot;-&quot;??_);_(@_)" sourceLinked="1"/>
        <c:majorTickMark val="out"/>
        <c:minorTickMark val="none"/>
        <c:tickLblPos val="nextTo"/>
        <c:crossAx val="224235520"/>
        <c:crosses val="autoZero"/>
        <c:crossBetween val="between"/>
      </c:valAx>
      <c:catAx>
        <c:axId val="224235520"/>
        <c:scaling>
          <c:orientation val="minMax"/>
        </c:scaling>
        <c:delete val="0"/>
        <c:axPos val="l"/>
        <c:numFmt formatCode="General" sourceLinked="0"/>
        <c:majorTickMark val="out"/>
        <c:minorTickMark val="none"/>
        <c:tickLblPos val="nextTo"/>
        <c:crossAx val="224225536"/>
        <c:crosses val="autoZero"/>
        <c:auto val="1"/>
        <c:lblAlgn val="ctr"/>
        <c:lblOffset val="100"/>
        <c:noMultiLvlLbl val="0"/>
      </c:catAx>
    </c:plotArea>
    <c:plotVisOnly val="1"/>
    <c:dispBlanksAs val="gap"/>
    <c:showDLblsOverMax val="0"/>
  </c:chart>
  <c:spPr>
    <a:gradFill rotWithShape="1">
      <a:gsLst>
        <a:gs pos="0">
          <a:schemeClr val="dk1">
            <a:satMod val="103000"/>
            <a:lumMod val="102000"/>
            <a:tint val="94000"/>
          </a:schemeClr>
        </a:gs>
        <a:gs pos="50000">
          <a:schemeClr val="dk1">
            <a:satMod val="110000"/>
            <a:lumMod val="100000"/>
            <a:shade val="100000"/>
          </a:schemeClr>
        </a:gs>
        <a:gs pos="100000">
          <a:schemeClr val="dk1">
            <a:lumMod val="99000"/>
            <a:satMod val="120000"/>
            <a:shade val="78000"/>
          </a:schemeClr>
        </a:gs>
      </a:gsLst>
      <a:lin ang="5400000" scaled="0"/>
    </a:gradFill>
    <a:ln>
      <a:noFill/>
    </a:ln>
    <a:effectLst>
      <a:outerShdw blurRad="57150" dist="19050" dir="5400000" algn="ctr" rotWithShape="0">
        <a:srgbClr val="000000">
          <a:alpha val="63000"/>
        </a:srgbClr>
      </a:outerShdw>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Cash Payment Breakdown</a:t>
            </a:r>
          </a:p>
        </c:rich>
      </c:tx>
      <c:layout>
        <c:manualLayout>
          <c:xMode val="edge"/>
          <c:yMode val="edge"/>
          <c:x val="3.8794707096238952E-2"/>
          <c:y val="2.7179479340232661E-2"/>
        </c:manualLayout>
      </c:layout>
      <c:overlay val="0"/>
    </c:title>
    <c:autoTitleDeleted val="0"/>
    <c:plotArea>
      <c:layout/>
      <c:pieChart>
        <c:varyColors val="1"/>
        <c:ser>
          <c:idx val="0"/>
          <c:order val="0"/>
          <c:explosion val="25"/>
          <c:dPt>
            <c:idx val="4"/>
            <c:bubble3D val="0"/>
            <c:spPr>
              <a:solidFill>
                <a:srgbClr val="00B050"/>
              </a:solidFill>
            </c:spPr>
            <c:extLst>
              <c:ext xmlns:c16="http://schemas.microsoft.com/office/drawing/2014/chart" uri="{C3380CC4-5D6E-409C-BE32-E72D297353CC}">
                <c16:uniqueId val="{00000001-C31E-48BA-BF92-5BD5B982402B}"/>
              </c:ext>
            </c:extLst>
          </c:dPt>
          <c:dPt>
            <c:idx val="7"/>
            <c:bubble3D val="0"/>
            <c:spPr>
              <a:solidFill>
                <a:srgbClr val="C00000"/>
              </a:solidFill>
            </c:spPr>
            <c:extLst>
              <c:ext xmlns:c16="http://schemas.microsoft.com/office/drawing/2014/chart" uri="{C3380CC4-5D6E-409C-BE32-E72D297353CC}">
                <c16:uniqueId val="{00000003-C31E-48BA-BF92-5BD5B982402B}"/>
              </c:ext>
            </c:extLst>
          </c:dPt>
          <c:dPt>
            <c:idx val="9"/>
            <c:bubble3D val="0"/>
            <c:spPr>
              <a:solidFill>
                <a:srgbClr val="FFFF00"/>
              </a:solidFill>
            </c:spPr>
            <c:extLst>
              <c:ext xmlns:c16="http://schemas.microsoft.com/office/drawing/2014/chart" uri="{C3380CC4-5D6E-409C-BE32-E72D297353CC}">
                <c16:uniqueId val="{00000005-C31E-48BA-BF92-5BD5B982402B}"/>
              </c:ext>
            </c:extLst>
          </c:dPt>
          <c:dPt>
            <c:idx val="10"/>
            <c:bubble3D val="0"/>
            <c:spPr>
              <a:solidFill>
                <a:srgbClr val="FF0000"/>
              </a:solidFill>
            </c:spPr>
            <c:extLst>
              <c:ext xmlns:c16="http://schemas.microsoft.com/office/drawing/2014/chart" uri="{C3380CC4-5D6E-409C-BE32-E72D297353CC}">
                <c16:uniqueId val="{00000007-C31E-48BA-BF92-5BD5B982402B}"/>
              </c:ext>
            </c:extLst>
          </c:dPt>
          <c:dPt>
            <c:idx val="12"/>
            <c:bubble3D val="0"/>
            <c:spPr>
              <a:solidFill>
                <a:srgbClr val="7030A0"/>
              </a:solidFill>
            </c:spPr>
            <c:extLst>
              <c:ext xmlns:c16="http://schemas.microsoft.com/office/drawing/2014/chart" uri="{C3380CC4-5D6E-409C-BE32-E72D297353CC}">
                <c16:uniqueId val="{00000009-C31E-48BA-BF92-5BD5B982402B}"/>
              </c:ext>
            </c:extLst>
          </c:dPt>
          <c:cat>
            <c:strRef>
              <c:f>'2019 Preliminary Cash Budget'!$B$14:$B$26</c:f>
              <c:strCache>
                <c:ptCount val="13"/>
                <c:pt idx="0">
                  <c:v>Startup Costs</c:v>
                </c:pt>
                <c:pt idx="1">
                  <c:v>Food Purchases</c:v>
                </c:pt>
                <c:pt idx="2">
                  <c:v>Returns and Refunds</c:v>
                </c:pt>
                <c:pt idx="3">
                  <c:v>Rent Expense</c:v>
                </c:pt>
                <c:pt idx="4">
                  <c:v>Utilities Expense</c:v>
                </c:pt>
                <c:pt idx="5">
                  <c:v>Insurance Expense</c:v>
                </c:pt>
                <c:pt idx="6">
                  <c:v>Marketing Expense</c:v>
                </c:pt>
                <c:pt idx="7">
                  <c:v>Salaries Expense: Shop manager (Fixed cost)</c:v>
                </c:pt>
                <c:pt idx="8">
                  <c:v>Wages Expense:</c:v>
                </c:pt>
                <c:pt idx="9">
                  <c:v>Loan Repayment (Interest and Principle)</c:v>
                </c:pt>
                <c:pt idx="10">
                  <c:v>Equipment Purchase</c:v>
                </c:pt>
                <c:pt idx="11">
                  <c:v>Franchising Cost</c:v>
                </c:pt>
                <c:pt idx="12">
                  <c:v>Delivery App Usage Expenses</c:v>
                </c:pt>
              </c:strCache>
            </c:strRef>
          </c:cat>
          <c:val>
            <c:numRef>
              <c:f>'2019 Preliminary Cash Budget'!$I$14:$I$26</c:f>
              <c:numCache>
                <c:formatCode>_(* #,##0.00_);_(* \(#,##0.00\);_(* "-"??_);_(@_)</c:formatCode>
                <c:ptCount val="13"/>
                <c:pt idx="0">
                  <c:v>120000</c:v>
                </c:pt>
                <c:pt idx="1">
                  <c:v>210197.01150000002</c:v>
                </c:pt>
                <c:pt idx="2">
                  <c:v>2253</c:v>
                </c:pt>
                <c:pt idx="3">
                  <c:v>42000</c:v>
                </c:pt>
                <c:pt idx="4">
                  <c:v>10500</c:v>
                </c:pt>
                <c:pt idx="5">
                  <c:v>1800</c:v>
                </c:pt>
                <c:pt idx="6">
                  <c:v>30000</c:v>
                </c:pt>
                <c:pt idx="7">
                  <c:v>40800</c:v>
                </c:pt>
                <c:pt idx="8">
                  <c:v>99200</c:v>
                </c:pt>
                <c:pt idx="9">
                  <c:v>16078.319999999998</c:v>
                </c:pt>
                <c:pt idx="10">
                  <c:v>132000</c:v>
                </c:pt>
                <c:pt idx="11">
                  <c:v>0</c:v>
                </c:pt>
                <c:pt idx="12">
                  <c:v>28156.100000000002</c:v>
                </c:pt>
              </c:numCache>
            </c:numRef>
          </c:val>
          <c:extLst>
            <c:ext xmlns:c16="http://schemas.microsoft.com/office/drawing/2014/chart" uri="{C3380CC4-5D6E-409C-BE32-E72D297353CC}">
              <c16:uniqueId val="{0000000A-C31E-48BA-BF92-5BD5B982402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0943266566754872"/>
          <c:y val="1.8335295106776523E-2"/>
          <c:w val="0.3751931856608019"/>
          <c:h val="0.98166470489322344"/>
        </c:manualLayout>
      </c:layout>
      <c:overlay val="0"/>
      <c:txPr>
        <a:bodyPr/>
        <a:lstStyle/>
        <a:p>
          <a:pPr rtl="0">
            <a:defRPr/>
          </a:pPr>
          <a:endParaRPr lang="en-US"/>
        </a:p>
      </c:txPr>
    </c:legend>
    <c:plotVisOnly val="1"/>
    <c:dispBlanksAs val="gap"/>
    <c:showDLblsOverMax val="0"/>
  </c:chart>
  <c:spPr>
    <a:solidFill>
      <a:schemeClr val="dk1"/>
    </a:solidFill>
    <a:ln w="19050" cap="flat" cmpd="sng" algn="ctr">
      <a:solidFill>
        <a:schemeClr val="lt1"/>
      </a:solidFill>
      <a:prstDash val="solid"/>
      <a:miter lim="800000"/>
    </a:ln>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Cash Receipts Breakdown</a:t>
            </a:r>
          </a:p>
        </c:rich>
      </c:tx>
      <c:layout>
        <c:manualLayout>
          <c:xMode val="edge"/>
          <c:yMode val="edge"/>
          <c:x val="6.8833635503224563E-2"/>
          <c:y val="4.0733671150176946E-2"/>
        </c:manualLayout>
      </c:layout>
      <c:overlay val="0"/>
    </c:title>
    <c:autoTitleDeleted val="0"/>
    <c:plotArea>
      <c:layout/>
      <c:pieChart>
        <c:varyColors val="1"/>
        <c:ser>
          <c:idx val="0"/>
          <c:order val="0"/>
          <c:explosion val="25"/>
          <c:dPt>
            <c:idx val="0"/>
            <c:bubble3D val="0"/>
            <c:spPr>
              <a:solidFill>
                <a:srgbClr val="00B050"/>
              </a:solidFill>
            </c:spPr>
            <c:extLst>
              <c:ext xmlns:c16="http://schemas.microsoft.com/office/drawing/2014/chart" uri="{C3380CC4-5D6E-409C-BE32-E72D297353CC}">
                <c16:uniqueId val="{00000001-0FC4-4211-B952-A504595EC5FC}"/>
              </c:ext>
            </c:extLst>
          </c:dPt>
          <c:cat>
            <c:strRef>
              <c:f>('2019 Preliminary Cash Budget'!$B$7:$B$10,'2019 Preliminary Cash Budget'!$B$34)</c:f>
              <c:strCache>
                <c:ptCount val="5"/>
                <c:pt idx="0">
                  <c:v>Bank Loan</c:v>
                </c:pt>
                <c:pt idx="1">
                  <c:v>Private Investment</c:v>
                </c:pt>
                <c:pt idx="2">
                  <c:v>Cash Sales</c:v>
                </c:pt>
                <c:pt idx="3">
                  <c:v>Credit Sales</c:v>
                </c:pt>
                <c:pt idx="4">
                  <c:v>Owner Investment</c:v>
                </c:pt>
              </c:strCache>
            </c:strRef>
          </c:cat>
          <c:val>
            <c:numRef>
              <c:f>('2019 Preliminary Cash Budget'!$I$7:$I$10,'2019 Preliminary Cash Budget'!$I$34)</c:f>
              <c:numCache>
                <c:formatCode>_(* #,##0.00_);_(* \(#,##0.00\);_(* "-"??_);_(@_)</c:formatCode>
                <c:ptCount val="5"/>
                <c:pt idx="0">
                  <c:v>142000</c:v>
                </c:pt>
                <c:pt idx="1">
                  <c:v>0</c:v>
                </c:pt>
                <c:pt idx="2">
                  <c:v>394185.39999999997</c:v>
                </c:pt>
                <c:pt idx="3">
                  <c:v>127497.59999999999</c:v>
                </c:pt>
                <c:pt idx="4" formatCode="_(&quot;$&quot;* #,##0.00_);_(&quot;$&quot;* \(#,##0.00\);_(&quot;$&quot;* &quot;-&quot;??_);_(@_)">
                  <c:v>150000</c:v>
                </c:pt>
              </c:numCache>
            </c:numRef>
          </c:val>
          <c:extLst>
            <c:ext xmlns:c16="http://schemas.microsoft.com/office/drawing/2014/chart" uri="{C3380CC4-5D6E-409C-BE32-E72D297353CC}">
              <c16:uniqueId val="{00000002-0FC4-4211-B952-A504595EC5FC}"/>
            </c:ext>
          </c:extLst>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gap"/>
    <c:showDLblsOverMax val="0"/>
  </c:chart>
  <c:spPr>
    <a:gradFill rotWithShape="1">
      <a:gsLst>
        <a:gs pos="0">
          <a:schemeClr val="dk1">
            <a:satMod val="103000"/>
            <a:lumMod val="102000"/>
            <a:tint val="94000"/>
          </a:schemeClr>
        </a:gs>
        <a:gs pos="50000">
          <a:schemeClr val="dk1">
            <a:satMod val="110000"/>
            <a:lumMod val="100000"/>
            <a:shade val="100000"/>
          </a:schemeClr>
        </a:gs>
        <a:gs pos="100000">
          <a:schemeClr val="dk1">
            <a:lumMod val="99000"/>
            <a:satMod val="120000"/>
            <a:shade val="78000"/>
          </a:schemeClr>
        </a:gs>
      </a:gsLst>
      <a:lin ang="5400000" scaled="0"/>
    </a:gradFill>
    <a:ln>
      <a:noFill/>
    </a:ln>
    <a:effectLst>
      <a:outerShdw blurRad="57150" dist="19050" dir="5400000" algn="ctr" rotWithShape="0">
        <a:srgbClr val="000000">
          <a:alpha val="63000"/>
        </a:srgbClr>
      </a:outerShdw>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AU"/>
              <a:t>Cash Payment Breakdown</a:t>
            </a:r>
          </a:p>
        </c:rich>
      </c:tx>
      <c:layout>
        <c:manualLayout>
          <c:xMode val="edge"/>
          <c:yMode val="edge"/>
          <c:x val="0.13698443164092902"/>
          <c:y val="2.7179518924374382E-2"/>
        </c:manualLayout>
      </c:layout>
      <c:overlay val="0"/>
    </c:title>
    <c:autoTitleDeleted val="0"/>
    <c:plotArea>
      <c:layout/>
      <c:pieChart>
        <c:varyColors val="1"/>
        <c:ser>
          <c:idx val="0"/>
          <c:order val="0"/>
          <c:explosion val="25"/>
          <c:dPt>
            <c:idx val="4"/>
            <c:bubble3D val="0"/>
            <c:spPr>
              <a:solidFill>
                <a:srgbClr val="00B050"/>
              </a:solidFill>
            </c:spPr>
            <c:extLst>
              <c:ext xmlns:c16="http://schemas.microsoft.com/office/drawing/2014/chart" uri="{C3380CC4-5D6E-409C-BE32-E72D297353CC}">
                <c16:uniqueId val="{00000001-4D3B-4538-A11C-BFBDFD4346CD}"/>
              </c:ext>
            </c:extLst>
          </c:dPt>
          <c:dPt>
            <c:idx val="7"/>
            <c:bubble3D val="0"/>
            <c:spPr>
              <a:solidFill>
                <a:srgbClr val="C00000"/>
              </a:solidFill>
            </c:spPr>
            <c:extLst>
              <c:ext xmlns:c16="http://schemas.microsoft.com/office/drawing/2014/chart" uri="{C3380CC4-5D6E-409C-BE32-E72D297353CC}">
                <c16:uniqueId val="{00000003-4D3B-4538-A11C-BFBDFD4346CD}"/>
              </c:ext>
            </c:extLst>
          </c:dPt>
          <c:dPt>
            <c:idx val="8"/>
            <c:bubble3D val="0"/>
            <c:spPr>
              <a:solidFill>
                <a:srgbClr val="C00000"/>
              </a:solidFill>
            </c:spPr>
            <c:extLst>
              <c:ext xmlns:c16="http://schemas.microsoft.com/office/drawing/2014/chart" uri="{C3380CC4-5D6E-409C-BE32-E72D297353CC}">
                <c16:uniqueId val="{00000005-4D3B-4538-A11C-BFBDFD4346CD}"/>
              </c:ext>
            </c:extLst>
          </c:dPt>
          <c:dPt>
            <c:idx val="9"/>
            <c:bubble3D val="0"/>
            <c:spPr>
              <a:solidFill>
                <a:srgbClr val="FFFF00"/>
              </a:solidFill>
            </c:spPr>
            <c:extLst>
              <c:ext xmlns:c16="http://schemas.microsoft.com/office/drawing/2014/chart" uri="{C3380CC4-5D6E-409C-BE32-E72D297353CC}">
                <c16:uniqueId val="{00000007-4D3B-4538-A11C-BFBDFD4346CD}"/>
              </c:ext>
            </c:extLst>
          </c:dPt>
          <c:dPt>
            <c:idx val="10"/>
            <c:bubble3D val="0"/>
            <c:spPr>
              <a:solidFill>
                <a:srgbClr val="FF0000"/>
              </a:solidFill>
            </c:spPr>
            <c:extLst>
              <c:ext xmlns:c16="http://schemas.microsoft.com/office/drawing/2014/chart" uri="{C3380CC4-5D6E-409C-BE32-E72D297353CC}">
                <c16:uniqueId val="{00000009-4D3B-4538-A11C-BFBDFD4346CD}"/>
              </c:ext>
            </c:extLst>
          </c:dPt>
          <c:dPt>
            <c:idx val="11"/>
            <c:bubble3D val="0"/>
            <c:spPr>
              <a:solidFill>
                <a:srgbClr val="7030A0"/>
              </a:solidFill>
            </c:spPr>
            <c:extLst>
              <c:ext xmlns:c16="http://schemas.microsoft.com/office/drawing/2014/chart" uri="{C3380CC4-5D6E-409C-BE32-E72D297353CC}">
                <c16:uniqueId val="{0000000B-4D3B-4538-A11C-BFBDFD4346CD}"/>
              </c:ext>
            </c:extLst>
          </c:dPt>
          <c:dPt>
            <c:idx val="12"/>
            <c:bubble3D val="0"/>
            <c:spPr>
              <a:solidFill>
                <a:srgbClr val="002060"/>
              </a:solidFill>
            </c:spPr>
            <c:extLst>
              <c:ext xmlns:c16="http://schemas.microsoft.com/office/drawing/2014/chart" uri="{C3380CC4-5D6E-409C-BE32-E72D297353CC}">
                <c16:uniqueId val="{0000000D-4D3B-4538-A11C-BFBDFD4346CD}"/>
              </c:ext>
            </c:extLst>
          </c:dPt>
          <c:cat>
            <c:strRef>
              <c:f>'2019 Full Year Cash Budget'!$B$16:$B$29</c:f>
              <c:strCache>
                <c:ptCount val="14"/>
                <c:pt idx="0">
                  <c:v>Startup Costs</c:v>
                </c:pt>
                <c:pt idx="1">
                  <c:v>Food Purchases (Pizzas)</c:v>
                </c:pt>
                <c:pt idx="2">
                  <c:v>Food Purchases (Garlic Bread)</c:v>
                </c:pt>
                <c:pt idx="3">
                  <c:v>Returns and Refunds</c:v>
                </c:pt>
                <c:pt idx="4">
                  <c:v>Rent Expense</c:v>
                </c:pt>
                <c:pt idx="5">
                  <c:v>Utilities Expense</c:v>
                </c:pt>
                <c:pt idx="6">
                  <c:v>Insurance Expense</c:v>
                </c:pt>
                <c:pt idx="7">
                  <c:v>Marketing Expense</c:v>
                </c:pt>
                <c:pt idx="8">
                  <c:v>Salaries Expense: Shop manager (fixed cost)</c:v>
                </c:pt>
                <c:pt idx="9">
                  <c:v>Wages Expense:</c:v>
                </c:pt>
                <c:pt idx="10">
                  <c:v>Loan Repayment (Interest and Principle)</c:v>
                </c:pt>
                <c:pt idx="11">
                  <c:v>Equipment Purchase</c:v>
                </c:pt>
                <c:pt idx="12">
                  <c:v>Franchising Cost</c:v>
                </c:pt>
                <c:pt idx="13">
                  <c:v>Delivery App Usage Expenses</c:v>
                </c:pt>
              </c:strCache>
            </c:strRef>
          </c:cat>
          <c:val>
            <c:numRef>
              <c:f>'2019 Full Year Cash Budget'!$O$16:$O$29</c:f>
              <c:numCache>
                <c:formatCode>_(* #,##0.00_);_(* \(#,##0.00\);_(* "-"??_);_(@_)</c:formatCode>
                <c:ptCount val="14"/>
                <c:pt idx="0">
                  <c:v>120000</c:v>
                </c:pt>
                <c:pt idx="1">
                  <c:v>544820.23950000003</c:v>
                </c:pt>
                <c:pt idx="2">
                  <c:v>30620.1</c:v>
                </c:pt>
                <c:pt idx="3">
                  <c:v>6090</c:v>
                </c:pt>
                <c:pt idx="4">
                  <c:v>84000</c:v>
                </c:pt>
                <c:pt idx="5">
                  <c:v>26400</c:v>
                </c:pt>
                <c:pt idx="6">
                  <c:v>3600</c:v>
                </c:pt>
                <c:pt idx="7">
                  <c:v>60000</c:v>
                </c:pt>
                <c:pt idx="8">
                  <c:v>81600</c:v>
                </c:pt>
                <c:pt idx="9">
                  <c:v>256000</c:v>
                </c:pt>
                <c:pt idx="10">
                  <c:v>32156.640000000003</c:v>
                </c:pt>
                <c:pt idx="11">
                  <c:v>165200</c:v>
                </c:pt>
                <c:pt idx="12">
                  <c:v>0</c:v>
                </c:pt>
                <c:pt idx="13">
                  <c:v>76132.150000000009</c:v>
                </c:pt>
              </c:numCache>
            </c:numRef>
          </c:val>
          <c:extLst>
            <c:ext xmlns:c16="http://schemas.microsoft.com/office/drawing/2014/chart" uri="{C3380CC4-5D6E-409C-BE32-E72D297353CC}">
              <c16:uniqueId val="{0000000E-4D3B-4538-A11C-BFBDFD4346C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0943266566754872"/>
          <c:y val="1.8335295106776523E-2"/>
          <c:w val="0.3751931856608019"/>
          <c:h val="0.98166470489322344"/>
        </c:manualLayout>
      </c:layout>
      <c:overlay val="0"/>
      <c:txPr>
        <a:bodyPr/>
        <a:lstStyle/>
        <a:p>
          <a:pPr rtl="0">
            <a:defRPr/>
          </a:pPr>
          <a:endParaRPr lang="en-US"/>
        </a:p>
      </c:txPr>
    </c:legend>
    <c:plotVisOnly val="1"/>
    <c:dispBlanksAs val="gap"/>
    <c:showDLblsOverMax val="0"/>
  </c:chart>
  <c:spPr>
    <a:solidFill>
      <a:schemeClr val="dk1"/>
    </a:solidFill>
    <a:ln w="19050" cap="flat" cmpd="sng" algn="ctr">
      <a:solidFill>
        <a:schemeClr val="lt1"/>
      </a:solidFill>
      <a:prstDash val="solid"/>
      <a:miter lim="800000"/>
    </a:ln>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Cash Receipts Breakdown</a:t>
            </a:r>
          </a:p>
        </c:rich>
      </c:tx>
      <c:layout>
        <c:manualLayout>
          <c:xMode val="edge"/>
          <c:yMode val="edge"/>
          <c:x val="0.3162962858292423"/>
          <c:y val="4.073369686840124E-2"/>
        </c:manualLayout>
      </c:layout>
      <c:overlay val="0"/>
    </c:title>
    <c:autoTitleDeleted val="0"/>
    <c:plotArea>
      <c:layout/>
      <c:pieChart>
        <c:varyColors val="1"/>
        <c:ser>
          <c:idx val="0"/>
          <c:order val="0"/>
          <c:explosion val="25"/>
          <c:dPt>
            <c:idx val="0"/>
            <c:bubble3D val="0"/>
            <c:spPr>
              <a:solidFill>
                <a:srgbClr val="00B050"/>
              </a:solidFill>
            </c:spPr>
            <c:extLst>
              <c:ext xmlns:c16="http://schemas.microsoft.com/office/drawing/2014/chart" uri="{C3380CC4-5D6E-409C-BE32-E72D297353CC}">
                <c16:uniqueId val="{00000001-87A7-4FB6-90D6-0DE2E811116E}"/>
              </c:ext>
            </c:extLst>
          </c:dPt>
          <c:dPt>
            <c:idx val="5"/>
            <c:bubble3D val="0"/>
            <c:spPr>
              <a:solidFill>
                <a:schemeClr val="bg1"/>
              </a:solidFill>
            </c:spPr>
            <c:extLst>
              <c:ext xmlns:c16="http://schemas.microsoft.com/office/drawing/2014/chart" uri="{C3380CC4-5D6E-409C-BE32-E72D297353CC}">
                <c16:uniqueId val="{00000003-87A7-4FB6-90D6-0DE2E811116E}"/>
              </c:ext>
            </c:extLst>
          </c:dPt>
          <c:cat>
            <c:strRef>
              <c:f>('2019 Full Year Cash Budget'!$B$4,'2019 Full Year Cash Budget'!$B$7:$B$12)</c:f>
              <c:strCache>
                <c:ptCount val="7"/>
                <c:pt idx="0">
                  <c:v>Owner Investment</c:v>
                </c:pt>
                <c:pt idx="1">
                  <c:v>Borrowing</c:v>
                </c:pt>
                <c:pt idx="2">
                  <c:v>Private Investment</c:v>
                </c:pt>
                <c:pt idx="3">
                  <c:v>Cash Sales (Pizzas)</c:v>
                </c:pt>
                <c:pt idx="4">
                  <c:v>Credit Sales (Pizzas)</c:v>
                </c:pt>
                <c:pt idx="5">
                  <c:v>Cash Sales (Garlic Bread)</c:v>
                </c:pt>
                <c:pt idx="6">
                  <c:v>Credit Sales (Garlic Bread)</c:v>
                </c:pt>
              </c:strCache>
            </c:strRef>
          </c:cat>
          <c:val>
            <c:numRef>
              <c:f>('2019 Full Year Cash Budget'!$O$4,'2019 Full Year Cash Budget'!$O$7:$O$12)</c:f>
              <c:numCache>
                <c:formatCode>_(* #,##0.00_);_(* \(#,##0.00\);_(* "-"??_);_(@_)</c:formatCode>
                <c:ptCount val="7"/>
                <c:pt idx="0" formatCode="_(&quot;$&quot;* #,##0.00_);_(&quot;$&quot;* \(#,##0.00\);_(&quot;$&quot;* &quot;-&quot;??_);_(@_)">
                  <c:v>150000</c:v>
                </c:pt>
                <c:pt idx="1">
                  <c:v>142000</c:v>
                </c:pt>
                <c:pt idx="2">
                  <c:v>0</c:v>
                </c:pt>
                <c:pt idx="3">
                  <c:v>1048864.5999999999</c:v>
                </c:pt>
                <c:pt idx="4">
                  <c:v>392416.5</c:v>
                </c:pt>
                <c:pt idx="5">
                  <c:v>67941.999999999985</c:v>
                </c:pt>
                <c:pt idx="6">
                  <c:v>23192.399999999998</c:v>
                </c:pt>
              </c:numCache>
            </c:numRef>
          </c:val>
          <c:extLst>
            <c:ext xmlns:c16="http://schemas.microsoft.com/office/drawing/2014/chart" uri="{C3380CC4-5D6E-409C-BE32-E72D297353CC}">
              <c16:uniqueId val="{00000004-87A7-4FB6-90D6-0DE2E811116E}"/>
            </c:ext>
          </c:extLst>
        </c:ser>
        <c:dLbls>
          <c:showLegendKey val="0"/>
          <c:showVal val="0"/>
          <c:showCatName val="0"/>
          <c:showSerName val="0"/>
          <c:showPercent val="0"/>
          <c:showBubbleSize val="0"/>
          <c:showLeaderLines val="1"/>
        </c:dLbls>
        <c:firstSliceAng val="0"/>
      </c:pieChart>
    </c:plotArea>
    <c:legend>
      <c:legendPos val="r"/>
      <c:overlay val="0"/>
      <c:txPr>
        <a:bodyPr/>
        <a:lstStyle/>
        <a:p>
          <a:pPr rtl="0">
            <a:defRPr/>
          </a:pPr>
          <a:endParaRPr lang="en-US"/>
        </a:p>
      </c:txPr>
    </c:legend>
    <c:plotVisOnly val="1"/>
    <c:dispBlanksAs val="gap"/>
    <c:showDLblsOverMax val="0"/>
  </c:chart>
  <c:spPr>
    <a:gradFill rotWithShape="1">
      <a:gsLst>
        <a:gs pos="0">
          <a:schemeClr val="dk1">
            <a:satMod val="103000"/>
            <a:lumMod val="102000"/>
            <a:tint val="94000"/>
          </a:schemeClr>
        </a:gs>
        <a:gs pos="50000">
          <a:schemeClr val="dk1">
            <a:satMod val="110000"/>
            <a:lumMod val="100000"/>
            <a:shade val="100000"/>
          </a:schemeClr>
        </a:gs>
        <a:gs pos="100000">
          <a:schemeClr val="dk1">
            <a:lumMod val="99000"/>
            <a:satMod val="120000"/>
            <a:shade val="78000"/>
          </a:schemeClr>
        </a:gs>
      </a:gsLst>
      <a:lin ang="5400000" scaled="0"/>
    </a:gradFill>
    <a:ln>
      <a:noFill/>
    </a:ln>
    <a:effectLst>
      <a:outerShdw blurRad="57150" dist="19050" dir="5400000" algn="ctr" rotWithShape="0">
        <a:srgbClr val="000000">
          <a:alpha val="63000"/>
        </a:srgbClr>
      </a:outerShdw>
    </a:effectLst>
  </c:spPr>
  <c:txPr>
    <a:bodyPr/>
    <a:lstStyle/>
    <a:p>
      <a:pPr>
        <a:defRPr>
          <a:solidFill>
            <a:schemeClr val="lt1"/>
          </a:solidFill>
          <a:latin typeface="+mn-lt"/>
          <a:ea typeface="+mn-ea"/>
          <a:cs typeface="+mn-cs"/>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AU"/>
              <a:t>Monthly Inventory Movements</a:t>
            </a:r>
          </a:p>
        </c:rich>
      </c:tx>
      <c:overlay val="0"/>
    </c:title>
    <c:autoTitleDeleted val="0"/>
    <c:plotArea>
      <c:layout/>
      <c:barChart>
        <c:barDir val="col"/>
        <c:grouping val="clustered"/>
        <c:varyColors val="0"/>
        <c:ser>
          <c:idx val="0"/>
          <c:order val="0"/>
          <c:tx>
            <c:strRef>
              <c:f>'2019 Inventory Reports'!$B$31</c:f>
              <c:strCache>
                <c:ptCount val="1"/>
                <c:pt idx="0">
                  <c:v>Purchases</c:v>
                </c:pt>
              </c:strCache>
            </c:strRef>
          </c:tx>
          <c:invertIfNegative val="0"/>
          <c:cat>
            <c:strRef>
              <c:f>'2019 Inventory Reports'!$C$28:$N$28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'2019 Inventory Reports'!$C$31:$N$31</c:f>
              <c:numCache>
                <c:formatCode>_(* #,##0.00_);_(* \(#,##0.00\);_(* "-"??_);_(@_)</c:formatCode>
                <c:ptCount val="12"/>
                <c:pt idx="0">
                  <c:v>23005.514250000004</c:v>
                </c:pt>
                <c:pt idx="1">
                  <c:v>26285.084250000004</c:v>
                </c:pt>
                <c:pt idx="2">
                  <c:v>31840.274250000002</c:v>
                </c:pt>
                <c:pt idx="3">
                  <c:v>38253.841500000002</c:v>
                </c:pt>
                <c:pt idx="4">
                  <c:v>42488.837249999997</c:v>
                </c:pt>
                <c:pt idx="5">
                  <c:v>48323.460000000006</c:v>
                </c:pt>
                <c:pt idx="6">
                  <c:v>53224.659</c:v>
                </c:pt>
                <c:pt idx="7">
                  <c:v>56173.196250000008</c:v>
                </c:pt>
                <c:pt idx="8">
                  <c:v>61091.344499999999</c:v>
                </c:pt>
                <c:pt idx="9">
                  <c:v>58556.680500000002</c:v>
                </c:pt>
                <c:pt idx="10">
                  <c:v>62971.438500000004</c:v>
                </c:pt>
                <c:pt idx="11">
                  <c:v>73226.009250000003</c:v>
                </c:pt>
              </c:numCache>
            </c:numRef>
          </c:val>
          <c:extLst>
            <c:ext xmlns:c16="http://schemas.microsoft.com/office/drawing/2014/chart" uri="{C3380CC4-5D6E-409C-BE32-E72D297353CC}">
              <c16:uniqueId val="{00000000-6298-4EED-88C0-6C8DC5BC6E45}"/>
            </c:ext>
          </c:extLst>
        </c:ser>
        <c:ser>
          <c:idx val="1"/>
          <c:order val="1"/>
          <c:tx>
            <c:strRef>
              <c:f>'2019 Inventory Reports'!$B$32</c:f>
              <c:strCache>
                <c:ptCount val="1"/>
                <c:pt idx="0">
                  <c:v>Cost of Sales</c:v>
                </c:pt>
              </c:strCache>
            </c:strRef>
          </c:tx>
          <c:invertIfNegative val="0"/>
          <c:cat>
            <c:strRef>
              <c:f>'2019 Inventory Reports'!$C$28:$N$28</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'2019 Inventory Reports'!$C$32:$N$32</c:f>
              <c:numCache>
                <c:formatCode>_(* #,##0.00_);_(* \(#,##0.00\);_(* "-"??_);_(@_)</c:formatCode>
                <c:ptCount val="12"/>
                <c:pt idx="0">
                  <c:v>16739.193000000003</c:v>
                </c:pt>
                <c:pt idx="1">
                  <c:v>25065.285000000003</c:v>
                </c:pt>
                <c:pt idx="2">
                  <c:v>29944.482000000004</c:v>
                </c:pt>
                <c:pt idx="3">
                  <c:v>37527.651000000005</c:v>
                </c:pt>
                <c:pt idx="4">
                  <c:v>40432.413</c:v>
                </c:pt>
                <c:pt idx="5">
                  <c:v>48658.11</c:v>
                </c:pt>
                <c:pt idx="6">
                  <c:v>51501.51</c:v>
                </c:pt>
                <c:pt idx="7">
                  <c:v>54212.106000000007</c:v>
                </c:pt>
                <c:pt idx="8">
                  <c:v>62056.467000000004</c:v>
                </c:pt>
                <c:pt idx="9">
                  <c:v>58195.976999999999</c:v>
                </c:pt>
                <c:pt idx="10">
                  <c:v>59638.791000000005</c:v>
                </c:pt>
                <c:pt idx="11">
                  <c:v>72969.381000000008</c:v>
                </c:pt>
              </c:numCache>
            </c:numRef>
          </c:val>
          <c:extLst>
            <c:ext xmlns:c16="http://schemas.microsoft.com/office/drawing/2014/chart" uri="{C3380CC4-5D6E-409C-BE32-E72D297353CC}">
              <c16:uniqueId val="{00000001-6298-4EED-88C0-6C8DC5BC6E45}"/>
            </c:ext>
          </c:extLst>
        </c:ser>
        <c:dLbls>
          <c:showLegendKey val="0"/>
          <c:showVal val="0"/>
          <c:showCatName val="0"/>
          <c:showSerName val="0"/>
          <c:showPercent val="0"/>
          <c:showBubbleSize val="0"/>
        </c:dLbls>
        <c:gapWidth val="150"/>
        <c:axId val="225993472"/>
        <c:axId val="225995008"/>
      </c:barChart>
      <c:catAx>
        <c:axId val="225993472"/>
        <c:scaling>
          <c:orientation val="minMax"/>
        </c:scaling>
        <c:delete val="0"/>
        <c:axPos val="b"/>
        <c:numFmt formatCode="General" sourceLinked="0"/>
        <c:majorTickMark val="out"/>
        <c:minorTickMark val="none"/>
        <c:tickLblPos val="nextTo"/>
        <c:crossAx val="225995008"/>
        <c:crosses val="autoZero"/>
        <c:auto val="1"/>
        <c:lblAlgn val="ctr"/>
        <c:lblOffset val="100"/>
        <c:noMultiLvlLbl val="0"/>
      </c:catAx>
      <c:valAx>
        <c:axId val="225995008"/>
        <c:scaling>
          <c:orientation val="minMax"/>
        </c:scaling>
        <c:delete val="0"/>
        <c:axPos val="l"/>
        <c:majorGridlines/>
        <c:numFmt formatCode="_(* #,##0.00_);_(* \(#,##0.00\);_(* &quot;-&quot;??_);_(@_)" sourceLinked="1"/>
        <c:majorTickMark val="out"/>
        <c:minorTickMark val="none"/>
        <c:tickLblPos val="nextTo"/>
        <c:crossAx val="2259934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AU"/>
              <a:t>Gross</a:t>
            </a:r>
            <a:r>
              <a:rPr lang="en-AU" baseline="0"/>
              <a:t> Profits vs Total Expenses</a:t>
            </a:r>
          </a:p>
        </c:rich>
      </c:tx>
      <c:overlay val="1"/>
    </c:title>
    <c:autoTitleDeleted val="0"/>
    <c:plotArea>
      <c:layout>
        <c:manualLayout>
          <c:layoutTarget val="inner"/>
          <c:xMode val="edge"/>
          <c:yMode val="edge"/>
          <c:x val="0.2801038600269084"/>
          <c:y val="0.18217909719896325"/>
          <c:w val="0.42862097159748896"/>
          <c:h val="0.76529434699998866"/>
        </c:manualLayout>
      </c:layout>
      <c:pieChart>
        <c:varyColors val="1"/>
        <c:ser>
          <c:idx val="0"/>
          <c:order val="0"/>
          <c:dPt>
            <c:idx val="0"/>
            <c:bubble3D val="0"/>
            <c:explosion val="10"/>
            <c:spPr>
              <a:solidFill>
                <a:srgbClr val="00B050"/>
              </a:solidFill>
            </c:spPr>
            <c:extLst>
              <c:ext xmlns:c16="http://schemas.microsoft.com/office/drawing/2014/chart" uri="{C3380CC4-5D6E-409C-BE32-E72D297353CC}">
                <c16:uniqueId val="{00000001-E716-4523-8900-14986C29E839}"/>
              </c:ext>
            </c:extLst>
          </c:dPt>
          <c:dPt>
            <c:idx val="1"/>
            <c:bubble3D val="0"/>
            <c:spPr>
              <a:solidFill>
                <a:srgbClr val="FF0000"/>
              </a:solidFill>
            </c:spPr>
            <c:extLst>
              <c:ext xmlns:c16="http://schemas.microsoft.com/office/drawing/2014/chart" uri="{C3380CC4-5D6E-409C-BE32-E72D297353CC}">
                <c16:uniqueId val="{00000003-E716-4523-8900-14986C29E839}"/>
              </c:ext>
            </c:extLst>
          </c:dPt>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('2019 Income Statement'!$B$12,'2019 Income Statement'!$B$26)</c:f>
              <c:strCache>
                <c:ptCount val="2"/>
                <c:pt idx="0">
                  <c:v>Gross Profit</c:v>
                </c:pt>
                <c:pt idx="1">
                  <c:v>Total Expenses</c:v>
                </c:pt>
              </c:strCache>
            </c:strRef>
          </c:cat>
          <c:val>
            <c:numRef>
              <c:f>('2019 Income Statement'!$F$12,'2019 Income Statement'!$F$26)</c:f>
              <c:numCache>
                <c:formatCode>_(* #,##0.00_);_(* \(#,##0.00\);_(* "-"??_);_(@_)</c:formatCode>
                <c:ptCount val="2"/>
                <c:pt idx="0">
                  <c:v>1032406.6339999997</c:v>
                </c:pt>
                <c:pt idx="1">
                  <c:v>727775.28725490195</c:v>
                </c:pt>
              </c:numCache>
            </c:numRef>
          </c:val>
          <c:extLst>
            <c:ext xmlns:c16="http://schemas.microsoft.com/office/drawing/2014/chart" uri="{C3380CC4-5D6E-409C-BE32-E72D297353CC}">
              <c16:uniqueId val="{00000004-E716-4523-8900-14986C29E839}"/>
            </c:ext>
          </c:extLst>
        </c:ser>
        <c:dLbls>
          <c:showLegendKey val="0"/>
          <c:showVal val="1"/>
          <c:showCatName val="1"/>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42"/>
    </mc:Choice>
    <mc:Fallback>
      <c:style val="42"/>
    </mc:Fallback>
  </mc:AlternateContent>
  <c:chart>
    <c:title>
      <c:tx>
        <c:rich>
          <a:bodyPr/>
          <a:lstStyle/>
          <a:p>
            <a:pPr>
              <a:defRPr/>
            </a:pPr>
            <a:r>
              <a:rPr lang="en-AU"/>
              <a:t>Expenses Breakdown</a:t>
            </a:r>
          </a:p>
        </c:rich>
      </c:tx>
      <c:overlay val="0"/>
    </c:title>
    <c:autoTitleDeleted val="0"/>
    <c:plotArea>
      <c:layout/>
      <c:pieChart>
        <c:varyColors val="1"/>
        <c:ser>
          <c:idx val="0"/>
          <c:order val="0"/>
          <c:explosion val="25"/>
          <c:dPt>
            <c:idx val="6"/>
            <c:bubble3D val="0"/>
            <c:spPr>
              <a:solidFill>
                <a:srgbClr val="FF0000"/>
              </a:solidFill>
            </c:spPr>
            <c:extLst>
              <c:ext xmlns:c16="http://schemas.microsoft.com/office/drawing/2014/chart" uri="{C3380CC4-5D6E-409C-BE32-E72D297353CC}">
                <c16:uniqueId val="{00000001-4821-4E6D-A528-95174D2AC7EC}"/>
              </c:ext>
            </c:extLst>
          </c:dPt>
          <c:cat>
            <c:strRef>
              <c:f>'2019 Income Statement'!$B$15:$B$25</c:f>
              <c:strCache>
                <c:ptCount val="11"/>
                <c:pt idx="0">
                  <c:v>Startup Expenses</c:v>
                </c:pt>
                <c:pt idx="1">
                  <c:v>Rent Expense</c:v>
                </c:pt>
                <c:pt idx="2">
                  <c:v>Utilities Expense</c:v>
                </c:pt>
                <c:pt idx="3">
                  <c:v>Insurance Expense</c:v>
                </c:pt>
                <c:pt idx="4">
                  <c:v>Marketing Expense</c:v>
                </c:pt>
                <c:pt idx="5">
                  <c:v>Salaries Expense</c:v>
                </c:pt>
                <c:pt idx="6">
                  <c:v>Wages Expense</c:v>
                </c:pt>
                <c:pt idx="7">
                  <c:v>Interest Expense</c:v>
                </c:pt>
                <c:pt idx="8">
                  <c:v>Depreciation Expense</c:v>
                </c:pt>
                <c:pt idx="9">
                  <c:v>Franchising Expense</c:v>
                </c:pt>
                <c:pt idx="10">
                  <c:v>Delivery App Usage Expenses</c:v>
                </c:pt>
              </c:strCache>
            </c:strRef>
          </c:cat>
          <c:val>
            <c:numRef>
              <c:f>'2019 Income Statement'!$D$15:$D$25</c:f>
              <c:numCache>
                <c:formatCode>_(* #,##0.00_);_(* \(#,##0.00\);_(* "-"??_);_(@_)</c:formatCode>
                <c:ptCount val="11"/>
                <c:pt idx="0">
                  <c:v>120000</c:v>
                </c:pt>
                <c:pt idx="1">
                  <c:v>84000</c:v>
                </c:pt>
                <c:pt idx="2">
                  <c:v>29600</c:v>
                </c:pt>
                <c:pt idx="3">
                  <c:v>3600</c:v>
                </c:pt>
                <c:pt idx="4">
                  <c:v>60000</c:v>
                </c:pt>
                <c:pt idx="5">
                  <c:v>81600</c:v>
                </c:pt>
                <c:pt idx="6">
                  <c:v>256000</c:v>
                </c:pt>
                <c:pt idx="7">
                  <c:v>7100</c:v>
                </c:pt>
                <c:pt idx="8">
                  <c:v>9743.1372549019616</c:v>
                </c:pt>
                <c:pt idx="9">
                  <c:v>0</c:v>
                </c:pt>
                <c:pt idx="10">
                  <c:v>76132.150000000009</c:v>
                </c:pt>
              </c:numCache>
            </c:numRef>
          </c:val>
          <c:extLst>
            <c:ext xmlns:c16="http://schemas.microsoft.com/office/drawing/2014/chart" uri="{C3380CC4-5D6E-409C-BE32-E72D297353CC}">
              <c16:uniqueId val="{00000002-4821-4E6D-A528-95174D2AC7EC}"/>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31" fmlaLink="'(HIDE) Data Validation'!$B$48" fmlaRange="$I$2:$I$6" sel="5" val="0"/>
</file>

<file path=xl/ctrlProps/ctrlProp10.xml><?xml version="1.0" encoding="utf-8"?>
<formControlPr xmlns="http://schemas.microsoft.com/office/spreadsheetml/2009/9/main" objectType="Radio" lockText="1"/>
</file>

<file path=xl/ctrlProps/ctrlProp11.xml><?xml version="1.0" encoding="utf-8"?>
<formControlPr xmlns="http://schemas.microsoft.com/office/spreadsheetml/2009/9/main" objectType="Radio" checked="Checked" lockText="1"/>
</file>

<file path=xl/ctrlProps/ctrlProp12.xml><?xml version="1.0" encoding="utf-8"?>
<formControlPr xmlns="http://schemas.microsoft.com/office/spreadsheetml/2009/9/main" objectType="GBox"/>
</file>

<file path=xl/ctrlProps/ctrlProp13.xml><?xml version="1.0" encoding="utf-8"?>
<formControlPr xmlns="http://schemas.microsoft.com/office/spreadsheetml/2009/9/main" objectType="Radio" checked="Checked" firstButton="1" fmlaLink="'(HIDE) Data Validation'!$C$2" lockText="1"/>
</file>

<file path=xl/ctrlProps/ctrlProp14.xml><?xml version="1.0" encoding="utf-8"?>
<formControlPr xmlns="http://schemas.microsoft.com/office/spreadsheetml/2009/9/main" objectType="Radio" lockText="1"/>
</file>

<file path=xl/ctrlProps/ctrlProp15.xml><?xml version="1.0" encoding="utf-8"?>
<formControlPr xmlns="http://schemas.microsoft.com/office/spreadsheetml/2009/9/main" objectType="Radio" lockText="1"/>
</file>

<file path=xl/ctrlProps/ctrlProp16.xml><?xml version="1.0" encoding="utf-8"?>
<formControlPr xmlns="http://schemas.microsoft.com/office/spreadsheetml/2009/9/main" objectType="GBox"/>
</file>

<file path=xl/ctrlProps/ctrlProp17.xml><?xml version="1.0" encoding="utf-8"?>
<formControlPr xmlns="http://schemas.microsoft.com/office/spreadsheetml/2009/9/main" objectType="Radio" firstButton="1" fmlaLink="'(HIDE) Data Validation'!$D$2"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checked="Checked" lockText="1"/>
</file>

<file path=xl/ctrlProps/ctrlProp2.xml><?xml version="1.0" encoding="utf-8"?>
<formControlPr xmlns="http://schemas.microsoft.com/office/spreadsheetml/2009/9/main" objectType="Drop" dropStyle="combo" dx="31" fmlaLink="'(HIDE) Data Validation'!$B$49" fmlaRange="$K$2:$K$7" sel="6" val="0"/>
</file>

<file path=xl/ctrlProps/ctrlProp20.xml><?xml version="1.0" encoding="utf-8"?>
<formControlPr xmlns="http://schemas.microsoft.com/office/spreadsheetml/2009/9/main" objectType="Scroll" dx="19" fmlaLink="'(HIDE) Data Validation'!$E$2" horiz="1" max="200" min="40" page="0" val="190"/>
</file>

<file path=xl/ctrlProps/ctrlProp21.xml><?xml version="1.0" encoding="utf-8"?>
<formControlPr xmlns="http://schemas.microsoft.com/office/spreadsheetml/2009/9/main" objectType="Scroll" dx="19" fmlaLink="'(HIDE) Data Validation'!$F$2" horiz="1" max="80" min="20" page="0" val="69"/>
</file>

<file path=xl/ctrlProps/ctrlProp22.xml><?xml version="1.0" encoding="utf-8"?>
<formControlPr xmlns="http://schemas.microsoft.com/office/spreadsheetml/2009/9/main" objectType="Scroll" dx="19" fmlaLink="'(HIDE) Data Validation'!$J$2" horiz="1" max="30" min="7" page="0" val="20"/>
</file>

<file path=xl/ctrlProps/ctrlProp23.xml><?xml version="1.0" encoding="utf-8"?>
<formControlPr xmlns="http://schemas.microsoft.com/office/spreadsheetml/2009/9/main" objectType="GBox"/>
</file>

<file path=xl/ctrlProps/ctrlProp24.xml><?xml version="1.0" encoding="utf-8"?>
<formControlPr xmlns="http://schemas.microsoft.com/office/spreadsheetml/2009/9/main" objectType="Radio" firstButton="1" fmlaLink="'(HIDE) Data Validation'!$F$22" lockText="1"/>
</file>

<file path=xl/ctrlProps/ctrlProp25.xml><?xml version="1.0" encoding="utf-8"?>
<formControlPr xmlns="http://schemas.microsoft.com/office/spreadsheetml/2009/9/main" objectType="Radio" lockText="1"/>
</file>

<file path=xl/ctrlProps/ctrlProp26.xml><?xml version="1.0" encoding="utf-8"?>
<formControlPr xmlns="http://schemas.microsoft.com/office/spreadsheetml/2009/9/main" objectType="Radio" checked="Checked" lockText="1"/>
</file>

<file path=xl/ctrlProps/ctrlProp27.xml><?xml version="1.0" encoding="utf-8"?>
<formControlPr xmlns="http://schemas.microsoft.com/office/spreadsheetml/2009/9/main" objectType="Radio" lockText="1"/>
</file>

<file path=xl/ctrlProps/ctrlProp28.xml><?xml version="1.0" encoding="utf-8"?>
<formControlPr xmlns="http://schemas.microsoft.com/office/spreadsheetml/2009/9/main" objectType="GBox"/>
</file>

<file path=xl/ctrlProps/ctrlProp29.xml><?xml version="1.0" encoding="utf-8"?>
<formControlPr xmlns="http://schemas.microsoft.com/office/spreadsheetml/2009/9/main" objectType="Radio" checked="Checked" firstButton="1" fmlaLink="'(HIDE) Data Validation'!$H$32" lockText="1"/>
</file>

<file path=xl/ctrlProps/ctrlProp3.xml><?xml version="1.0" encoding="utf-8"?>
<formControlPr xmlns="http://schemas.microsoft.com/office/spreadsheetml/2009/9/main" objectType="GBox"/>
</file>

<file path=xl/ctrlProps/ctrlProp30.xml><?xml version="1.0" encoding="utf-8"?>
<formControlPr xmlns="http://schemas.microsoft.com/office/spreadsheetml/2009/9/main" objectType="Radio" lockText="1"/>
</file>

<file path=xl/ctrlProps/ctrlProp31.xml><?xml version="1.0" encoding="utf-8"?>
<formControlPr xmlns="http://schemas.microsoft.com/office/spreadsheetml/2009/9/main" objectType="GBox"/>
</file>

<file path=xl/ctrlProps/ctrlProp32.xml><?xml version="1.0" encoding="utf-8"?>
<formControlPr xmlns="http://schemas.microsoft.com/office/spreadsheetml/2009/9/main" objectType="Radio" firstButton="1" fmlaLink="'(HIDE) Data Validation'!$I$39" lockText="1"/>
</file>

<file path=xl/ctrlProps/ctrlProp33.xml><?xml version="1.0" encoding="utf-8"?>
<formControlPr xmlns="http://schemas.microsoft.com/office/spreadsheetml/2009/9/main" objectType="Radio" checked="Checked"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Radio" firstButton="1" fmlaLink="'(HIDE) Data Validation'!$J$46" lockText="1"/>
</file>

<file path=xl/ctrlProps/ctrlProp37.xml><?xml version="1.0" encoding="utf-8"?>
<formControlPr xmlns="http://schemas.microsoft.com/office/spreadsheetml/2009/9/main" objectType="Radio"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Radio" checked="Checked" lockText="1"/>
</file>

<file path=xl/ctrlProps/ctrlProp4.xml><?xml version="1.0" encoding="utf-8"?>
<formControlPr xmlns="http://schemas.microsoft.com/office/spreadsheetml/2009/9/main" objectType="Radio" checked="Checked" firstButton="1" fmlaLink="'(HIDE) Data Validation'!$B$50" lockText="1"/>
</file>

<file path=xl/ctrlProps/ctrlProp40.xml><?xml version="1.0" encoding="utf-8"?>
<formControlPr xmlns="http://schemas.microsoft.com/office/spreadsheetml/2009/9/main" objectType="Scroll" dx="19" fmlaLink="'(HIDE) Data Validation'!$B$18" horiz="1" inc="10" max="150" min="10" page="0" val="150"/>
</file>

<file path=xl/ctrlProps/ctrlProp41.xml><?xml version="1.0" encoding="utf-8"?>
<formControlPr xmlns="http://schemas.microsoft.com/office/spreadsheetml/2009/9/main" objectType="Scroll" dx="19" fmlaLink="'(HIDE) Data Validation'!$B$19" horiz="1" inc="10" max="500" page="0" val="142"/>
</file>

<file path=xl/ctrlProps/ctrlProp42.xml><?xml version="1.0" encoding="utf-8"?>
<formControlPr xmlns="http://schemas.microsoft.com/office/spreadsheetml/2009/9/main" objectType="Scroll" dx="19" fmlaLink="'(HIDE) Data Validation'!$B$20" horiz="1" inc="10" max="1000" page="0" val="0"/>
</file>

<file path=xl/ctrlProps/ctrlProp43.xml><?xml version="1.0" encoding="utf-8"?>
<formControlPr xmlns="http://schemas.microsoft.com/office/spreadsheetml/2009/9/main" objectType="Scroll" dx="19" fmlaLink="'(HIDE) Data Validation'!$B$27" horiz="1" max="30" min="2" page="0" val="5"/>
</file>

<file path=xl/ctrlProps/ctrlProp44.xml><?xml version="1.0" encoding="utf-8"?>
<formControlPr xmlns="http://schemas.microsoft.com/office/spreadsheetml/2009/9/main" objectType="GBox"/>
</file>

<file path=xl/ctrlProps/ctrlProp45.xml><?xml version="1.0" encoding="utf-8"?>
<formControlPr xmlns="http://schemas.microsoft.com/office/spreadsheetml/2009/9/main" objectType="Radio" firstButton="1" fmlaLink="'(HIDE) Data Validation'!$B$40" lockText="1"/>
</file>

<file path=xl/ctrlProps/ctrlProp46.xml><?xml version="1.0" encoding="utf-8"?>
<formControlPr xmlns="http://schemas.microsoft.com/office/spreadsheetml/2009/9/main" objectType="Radio" lockText="1"/>
</file>

<file path=xl/ctrlProps/ctrlProp47.xml><?xml version="1.0" encoding="utf-8"?>
<formControlPr xmlns="http://schemas.microsoft.com/office/spreadsheetml/2009/9/main" objectType="Radio" checked="Checked" lockText="1"/>
</file>

<file path=xl/ctrlProps/ctrlProp48.xml><?xml version="1.0" encoding="utf-8"?>
<formControlPr xmlns="http://schemas.microsoft.com/office/spreadsheetml/2009/9/main" objectType="Scroll" dx="19" fmlaLink="'(HIDE) Data Validation'!$D$41" horiz="1" max="80" min="30" page="5" val="40"/>
</file>

<file path=xl/ctrlProps/ctrlProp5.xml><?xml version="1.0" encoding="utf-8"?>
<formControlPr xmlns="http://schemas.microsoft.com/office/spreadsheetml/2009/9/main" objectType="Radio" lockText="1"/>
</file>

<file path=xl/ctrlProps/ctrlProp6.xml><?xml version="1.0" encoding="utf-8"?>
<formControlPr xmlns="http://schemas.microsoft.com/office/spreadsheetml/2009/9/main" objectType="Drop" dropStyle="combo" dx="31" fmlaLink="'(HIDE) Data Validation'!$B$51" fmlaRange="$M$2:$M$5" sel="2" val="0"/>
</file>

<file path=xl/ctrlProps/ctrlProp7.xml><?xml version="1.0" encoding="utf-8"?>
<formControlPr xmlns="http://schemas.microsoft.com/office/spreadsheetml/2009/9/main" objectType="Radio" lockText="1"/>
</file>

<file path=xl/ctrlProps/ctrlProp8.xml><?xml version="1.0" encoding="utf-8"?>
<formControlPr xmlns="http://schemas.microsoft.com/office/spreadsheetml/2009/9/main" objectType="GBox"/>
</file>

<file path=xl/ctrlProps/ctrlProp9.xml><?xml version="1.0" encoding="utf-8"?>
<formControlPr xmlns="http://schemas.microsoft.com/office/spreadsheetml/2009/9/main" objectType="Radio" firstButton="1" fmlaLink="'(HIDE) Data Validation'!$A$2"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7.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0.jpeg"/><Relationship Id="rId1" Type="http://schemas.openxmlformats.org/officeDocument/2006/relationships/image" Target="../media/image9.jpeg"/><Relationship Id="rId5" Type="http://schemas.openxmlformats.org/officeDocument/2006/relationships/image" Target="../media/image3.pn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 Id="rId5" Type="http://schemas.openxmlformats.org/officeDocument/2006/relationships/image" Target="../media/image3.pn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chart" Target="../charts/chart2.xml"/><Relationship Id="rId4"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3.png"/><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7392</xdr:colOff>
      <xdr:row>0</xdr:row>
      <xdr:rowOff>88274</xdr:rowOff>
    </xdr:from>
    <xdr:to>
      <xdr:col>10</xdr:col>
      <xdr:colOff>132205</xdr:colOff>
      <xdr:row>1</xdr:row>
      <xdr:rowOff>220853</xdr:rowOff>
    </xdr:to>
    <xdr:pic>
      <xdr:nvPicPr>
        <xdr:cNvPr id="2" name="Picture 1" descr="C:\Users\mwyeoh\Dropbox\..VisualFrontier Projects\Images\Curtin\CurtinHeader.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2" y="88274"/>
          <a:ext cx="9145634" cy="429287"/>
        </a:xfrm>
        <a:prstGeom prst="rect">
          <a:avLst/>
        </a:prstGeom>
        <a:noFill/>
        <a:ln>
          <a:noFill/>
        </a:ln>
      </xdr:spPr>
    </xdr:pic>
    <xdr:clientData/>
  </xdr:twoCellAnchor>
  <xdr:twoCellAnchor editAs="oneCell">
    <xdr:from>
      <xdr:col>10</xdr:col>
      <xdr:colOff>190285</xdr:colOff>
      <xdr:row>8</xdr:row>
      <xdr:rowOff>1221893</xdr:rowOff>
    </xdr:from>
    <xdr:to>
      <xdr:col>13</xdr:col>
      <xdr:colOff>547072</xdr:colOff>
      <xdr:row>10</xdr:row>
      <xdr:rowOff>354711</xdr:rowOff>
    </xdr:to>
    <xdr:pic>
      <xdr:nvPicPr>
        <xdr:cNvPr id="6" name="Picture 5" descr="Side view shawarma with fried potatoes and ayran and mayonnaise in board cookware Free Phot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43948" y="3469681"/>
          <a:ext cx="2420257" cy="2387614"/>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354433</xdr:colOff>
      <xdr:row>1</xdr:row>
      <xdr:rowOff>264831</xdr:rowOff>
    </xdr:from>
    <xdr:to>
      <xdr:col>10</xdr:col>
      <xdr:colOff>139887</xdr:colOff>
      <xdr:row>2</xdr:row>
      <xdr:rowOff>185219</xdr:rowOff>
    </xdr:to>
    <xdr:pic>
      <xdr:nvPicPr>
        <xdr:cNvPr id="3" name="Picture 2" descr="C:\Users\mwyeoh\Dropbox\..VisualFrontier Projects\Images\Curtin\curtinbusiness.png">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1810" y="564236"/>
          <a:ext cx="2180696" cy="219794"/>
        </a:xfrm>
        <a:prstGeom prst="rect">
          <a:avLst/>
        </a:prstGeom>
        <a:noFill/>
        <a:ln>
          <a:noFill/>
        </a:ln>
      </xdr:spPr>
    </xdr:pic>
    <xdr:clientData/>
  </xdr:twoCellAnchor>
  <xdr:twoCellAnchor>
    <xdr:from>
      <xdr:col>8</xdr:col>
      <xdr:colOff>501565</xdr:colOff>
      <xdr:row>1</xdr:row>
      <xdr:rowOff>228048</xdr:rowOff>
    </xdr:from>
    <xdr:to>
      <xdr:col>10</xdr:col>
      <xdr:colOff>629692</xdr:colOff>
      <xdr:row>2</xdr:row>
      <xdr:rowOff>211545</xdr:rowOff>
    </xdr:to>
    <xdr:sp macro="" textlink="">
      <xdr:nvSpPr>
        <xdr:cNvPr id="4" name="TextBox 6">
          <a:extLst>
            <a:ext uri="{FF2B5EF4-FFF2-40B4-BE49-F238E27FC236}">
              <a16:creationId xmlns:a16="http://schemas.microsoft.com/office/drawing/2014/main" id="{00000000-0008-0000-0000-000004000000}"/>
            </a:ext>
          </a:extLst>
        </xdr:cNvPr>
        <xdr:cNvSpPr txBox="1"/>
      </xdr:nvSpPr>
      <xdr:spPr>
        <a:xfrm>
          <a:off x="7128942" y="527453"/>
          <a:ext cx="2523369" cy="28290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twoCellAnchor editAs="oneCell">
    <xdr:from>
      <xdr:col>12</xdr:col>
      <xdr:colOff>222658</xdr:colOff>
      <xdr:row>7</xdr:row>
      <xdr:rowOff>16919</xdr:rowOff>
    </xdr:from>
    <xdr:to>
      <xdr:col>17</xdr:col>
      <xdr:colOff>482808</xdr:colOff>
      <xdr:row>8</xdr:row>
      <xdr:rowOff>2016387</xdr:rowOff>
    </xdr:to>
    <xdr:pic>
      <xdr:nvPicPr>
        <xdr:cNvPr id="5" name="Picture 4" descr="Close-up of burger with stone background Free Phot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192046" y="1983284"/>
          <a:ext cx="3496964" cy="229887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9</xdr:col>
      <xdr:colOff>258460</xdr:colOff>
      <xdr:row>3</xdr:row>
      <xdr:rowOff>52722</xdr:rowOff>
    </xdr:from>
    <xdr:to>
      <xdr:col>13</xdr:col>
      <xdr:colOff>470914</xdr:colOff>
      <xdr:row>8</xdr:row>
      <xdr:rowOff>709402</xdr:rowOff>
    </xdr:to>
    <xdr:pic>
      <xdr:nvPicPr>
        <xdr:cNvPr id="7" name="Picture 6" descr="Pizza slices on marble over the chopping board Free Photo">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10630" y="950938"/>
          <a:ext cx="3077034" cy="2024234"/>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305698</xdr:colOff>
      <xdr:row>0</xdr:row>
      <xdr:rowOff>0</xdr:rowOff>
    </xdr:from>
    <xdr:ext cx="5337808" cy="530658"/>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305698" y="0"/>
          <a:ext cx="5337808"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2800" b="1"/>
            <a:t>ACCT1002: BUSINESS SIMULATION</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xdr:col>
      <xdr:colOff>945206</xdr:colOff>
      <xdr:row>35</xdr:row>
      <xdr:rowOff>145246</xdr:rowOff>
    </xdr:from>
    <xdr:to>
      <xdr:col>11</xdr:col>
      <xdr:colOff>326146</xdr:colOff>
      <xdr:row>46</xdr:row>
      <xdr:rowOff>14637</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29222</xdr:colOff>
      <xdr:row>0</xdr:row>
      <xdr:rowOff>53948</xdr:rowOff>
    </xdr:from>
    <xdr:to>
      <xdr:col>14</xdr:col>
      <xdr:colOff>44956</xdr:colOff>
      <xdr:row>13</xdr:row>
      <xdr:rowOff>8992</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631630</xdr:colOff>
      <xdr:row>17</xdr:row>
      <xdr:rowOff>111940</xdr:rowOff>
    </xdr:from>
    <xdr:to>
      <xdr:col>14</xdr:col>
      <xdr:colOff>107894</xdr:colOff>
      <xdr:row>32</xdr:row>
      <xdr:rowOff>4945</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313565</xdr:colOff>
      <xdr:row>0</xdr:row>
      <xdr:rowOff>91035</xdr:rowOff>
    </xdr:from>
    <xdr:to>
      <xdr:col>14</xdr:col>
      <xdr:colOff>434947</xdr:colOff>
      <xdr:row>13</xdr:row>
      <xdr:rowOff>12138</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222532</xdr:colOff>
      <xdr:row>20</xdr:row>
      <xdr:rowOff>182072</xdr:rowOff>
    </xdr:from>
    <xdr:to>
      <xdr:col>14</xdr:col>
      <xdr:colOff>394486</xdr:colOff>
      <xdr:row>33</xdr:row>
      <xdr:rowOff>171955</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125877</xdr:colOff>
      <xdr:row>2</xdr:row>
      <xdr:rowOff>685126</xdr:rowOff>
    </xdr:from>
    <xdr:to>
      <xdr:col>16</xdr:col>
      <xdr:colOff>65636</xdr:colOff>
      <xdr:row>3</xdr:row>
      <xdr:rowOff>611399</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9926231" y="2069763"/>
              <a:ext cx="6584219" cy="618592"/>
            </a:xfrm>
            <a:prstGeom prst="rect">
              <a:avLst/>
            </a:prstGeom>
            <a:noFill/>
            <a:ln w="28575">
              <a:solidFill>
                <a:schemeClr val="accent3">
                  <a:lumMod val="60000"/>
                  <a:lumOff val="40000"/>
                </a:schemeClr>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𝑁𝑒𝑡</m:t>
                    </m:r>
                    <m:r>
                      <a:rPr lang="en-AU" sz="1400" b="0" i="1">
                        <a:latin typeface="Cambria Math"/>
                      </a:rPr>
                      <m:t> </m:t>
                    </m:r>
                    <m:r>
                      <a:rPr lang="en-AU" sz="1400" b="0" i="1">
                        <a:latin typeface="Cambria Math"/>
                      </a:rPr>
                      <m:t>𝑃𝑟𝑜𝑓𝑖𝑡</m:t>
                    </m:r>
                    <m:r>
                      <a:rPr lang="en-AU" sz="1400" b="0" i="1">
                        <a:latin typeface="Cambria Math"/>
                      </a:rPr>
                      <m:t> </m:t>
                    </m:r>
                    <m:r>
                      <a:rPr lang="en-AU" sz="1400" b="0" i="1">
                        <a:latin typeface="Cambria Math"/>
                      </a:rPr>
                      <m:t>𝑀𝑎𝑟𝑔𝑖𝑛</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𝑃𝑟𝑜𝑓𝑖𝑡</m:t>
                        </m:r>
                      </m:num>
                      <m:den>
                        <m:r>
                          <a:rPr lang="en-MY" sz="1400" b="0" i="1">
                            <a:latin typeface="Cambria Math" panose="02040503050406030204" pitchFamily="18" charset="0"/>
                          </a:rPr>
                          <m:t>𝑁𝑒𝑡</m:t>
                        </m:r>
                        <m:r>
                          <a:rPr lang="en-MY" sz="1400" b="0" i="1">
                            <a:latin typeface="Cambria Math" panose="02040503050406030204" pitchFamily="18" charset="0"/>
                          </a:rPr>
                          <m:t> </m:t>
                        </m:r>
                        <m:r>
                          <a:rPr lang="en-MY" sz="1400" b="0" i="1">
                            <a:latin typeface="Cambria Math" panose="02040503050406030204" pitchFamily="18" charset="0"/>
                          </a:rPr>
                          <m:t>𝑆𝑎𝑙𝑒𝑠</m:t>
                        </m:r>
                      </m:den>
                    </m:f>
                  </m:oMath>
                </m:oMathPara>
              </a14:m>
              <a:endParaRPr lang="en-AU" sz="1400"/>
            </a:p>
          </xdr:txBody>
        </xdr:sp>
      </mc:Choice>
      <mc:Fallback xmlns="">
        <xdr:sp macro="" textlink="">
          <xdr:nvSpPr>
            <xdr:cNvPr id="3" name="TextBox 2">
              <a:extLst>
                <a:ext uri="{FF2B5EF4-FFF2-40B4-BE49-F238E27FC236}">
                  <a16:creationId xmlns:a16="http://schemas.microsoft.com/office/drawing/2014/main" xmlns:a14="http://schemas.microsoft.com/office/drawing/2010/main" xmlns="" id="{00000000-0008-0000-0C00-000003000000}"/>
                </a:ext>
              </a:extLst>
            </xdr:cNvPr>
            <xdr:cNvSpPr txBox="1"/>
          </xdr:nvSpPr>
          <xdr:spPr>
            <a:xfrm>
              <a:off x="9926231" y="2069763"/>
              <a:ext cx="6584219" cy="618592"/>
            </a:xfrm>
            <a:prstGeom prst="rect">
              <a:avLst/>
            </a:prstGeom>
            <a:noFill/>
            <a:ln w="28575">
              <a:solidFill>
                <a:schemeClr val="accent3">
                  <a:lumMod val="60000"/>
                  <a:lumOff val="40000"/>
                </a:schemeClr>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𝑁𝑒𝑡 𝑃𝑟𝑜𝑓𝑖𝑡 𝑀𝑎𝑟𝑔𝑖𝑛 𝑅𝑎𝑡𝑖𝑜=  (𝑁𝑒𝑡 𝑃𝑟𝑜𝑓𝑖𝑡)/(</a:t>
              </a:r>
              <a:r>
                <a:rPr lang="en-MY" sz="1400" b="0" i="0">
                  <a:latin typeface="Cambria Math" panose="02040503050406030204" pitchFamily="18" charset="0"/>
                </a:rPr>
                <a:t>𝑁𝑒𝑡 𝑆𝑎𝑙𝑒𝑠</a:t>
              </a:r>
              <a:r>
                <a:rPr lang="en-AU" sz="1400" b="0" i="0">
                  <a:latin typeface="Cambria Math"/>
                </a:rPr>
                <a:t>)</a:t>
              </a:r>
              <a:endParaRPr lang="en-AU" sz="1400"/>
            </a:p>
          </xdr:txBody>
        </xdr:sp>
      </mc:Fallback>
    </mc:AlternateContent>
    <xdr:clientData/>
  </xdr:twoCellAnchor>
  <xdr:twoCellAnchor>
    <xdr:from>
      <xdr:col>8</xdr:col>
      <xdr:colOff>121381</xdr:colOff>
      <xdr:row>7</xdr:row>
      <xdr:rowOff>48551</xdr:rowOff>
    </xdr:from>
    <xdr:to>
      <xdr:col>16</xdr:col>
      <xdr:colOff>64736</xdr:colOff>
      <xdr:row>7</xdr:row>
      <xdr:rowOff>549970</xdr:rowOff>
    </xdr:to>
    <mc:AlternateContent xmlns:mc="http://schemas.openxmlformats.org/markup-compatibility/2006" xmlns:a14="http://schemas.microsoft.com/office/drawing/2010/main">
      <mc:Choice Requires="a14">
        <xdr:sp macro="" textlink="">
          <xdr:nvSpPr>
            <xdr:cNvPr id="4" name="TextBox 2">
              <a:extLst>
                <a:ext uri="{FF2B5EF4-FFF2-40B4-BE49-F238E27FC236}">
                  <a16:creationId xmlns:a16="http://schemas.microsoft.com/office/drawing/2014/main" id="{00000000-0008-0000-0C00-000004000000}"/>
                </a:ext>
              </a:extLst>
            </xdr:cNvPr>
            <xdr:cNvSpPr txBox="1"/>
          </xdr:nvSpPr>
          <xdr:spPr>
            <a:xfrm>
              <a:off x="9224921" y="1723602"/>
              <a:ext cx="5373111"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𝑇𝑜𝑡𝑎𝑙</m:t>
                    </m:r>
                    <m:r>
                      <a:rPr lang="en-AU" sz="1400" b="0" i="1">
                        <a:latin typeface="Cambria Math"/>
                      </a:rPr>
                      <m:t> </m:t>
                    </m:r>
                    <m:r>
                      <a:rPr lang="en-AU" sz="1400" b="0" i="1">
                        <a:latin typeface="Cambria Math"/>
                      </a:rPr>
                      <m:t>𝐴𝑠𝑠𝑒𝑡</m:t>
                    </m:r>
                    <m:r>
                      <a:rPr lang="en-AU" sz="1400" b="0" i="1">
                        <a:latin typeface="Cambria Math"/>
                      </a:rPr>
                      <m:t> </m:t>
                    </m:r>
                    <m:r>
                      <a:rPr lang="en-AU" sz="1400" b="0" i="1">
                        <a:latin typeface="Cambria Math"/>
                      </a:rPr>
                      <m:t>𝑇𝑢𝑟𝑛𝑜𝑣𝑒𝑟</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𝑆𝑎𝑙𝑒𝑠</m:t>
                        </m:r>
                      </m:num>
                      <m:den>
                        <m:r>
                          <a:rPr lang="en-AU" sz="1400" b="0" i="1">
                            <a:latin typeface="Cambria Math"/>
                          </a:rPr>
                          <m:t>𝑇𝑜𝑡𝑎𝑙</m:t>
                        </m:r>
                        <m:r>
                          <a:rPr lang="en-AU" sz="1400" b="0" i="1">
                            <a:latin typeface="Cambria Math"/>
                          </a:rPr>
                          <m:t> </m:t>
                        </m:r>
                        <m:r>
                          <a:rPr lang="en-AU" sz="1400" b="0" i="1">
                            <a:latin typeface="Cambria Math"/>
                          </a:rPr>
                          <m:t>𝐴𝑠𝑠𝑒𝑡𝑠</m:t>
                        </m:r>
                      </m:den>
                    </m:f>
                  </m:oMath>
                </m:oMathPara>
              </a14:m>
              <a:endParaRPr lang="en-AU" sz="1400"/>
            </a:p>
          </xdr:txBody>
        </xdr:sp>
      </mc:Choice>
      <mc:Fallback xmlns="">
        <xdr:sp macro="" textlink="">
          <xdr:nvSpPr>
            <xdr:cNvPr id="4" name="TextBox 2"/>
            <xdr:cNvSpPr txBox="1"/>
          </xdr:nvSpPr>
          <xdr:spPr>
            <a:xfrm>
              <a:off x="9224921" y="1723602"/>
              <a:ext cx="5373111"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𝑇𝑜𝑡𝑎𝑙 𝐴𝑠𝑠𝑒𝑡 𝑇𝑢𝑟𝑛𝑜𝑣𝑒𝑟 𝑅𝑎𝑡𝑖𝑜=  (𝑁𝑒𝑡 𝑆𝑎𝑙𝑒𝑠)/(𝑇𝑜𝑡𝑎𝑙 𝐴𝑠𝑠𝑒𝑡𝑠)</a:t>
              </a:r>
              <a:endParaRPr lang="en-AU" sz="1400"/>
            </a:p>
          </xdr:txBody>
        </xdr:sp>
      </mc:Fallback>
    </mc:AlternateContent>
    <xdr:clientData/>
  </xdr:twoCellAnchor>
  <xdr:twoCellAnchor>
    <xdr:from>
      <xdr:col>8</xdr:col>
      <xdr:colOff>112389</xdr:colOff>
      <xdr:row>5</xdr:row>
      <xdr:rowOff>104297</xdr:rowOff>
    </xdr:from>
    <xdr:to>
      <xdr:col>16</xdr:col>
      <xdr:colOff>63837</xdr:colOff>
      <xdr:row>5</xdr:row>
      <xdr:rowOff>606229</xdr:rowOff>
    </xdr:to>
    <mc:AlternateContent xmlns:mc="http://schemas.openxmlformats.org/markup-compatibility/2006" xmlns:a14="http://schemas.microsoft.com/office/drawing/2010/main">
      <mc:Choice Requires="a14">
        <xdr:sp macro="" textlink="">
          <xdr:nvSpPr>
            <xdr:cNvPr id="5" name="TextBox 2">
              <a:extLst>
                <a:ext uri="{FF2B5EF4-FFF2-40B4-BE49-F238E27FC236}">
                  <a16:creationId xmlns:a16="http://schemas.microsoft.com/office/drawing/2014/main" id="{00000000-0008-0000-0C00-000005000000}"/>
                </a:ext>
              </a:extLst>
            </xdr:cNvPr>
            <xdr:cNvSpPr txBox="1"/>
          </xdr:nvSpPr>
          <xdr:spPr>
            <a:xfrm>
              <a:off x="9912743" y="3565890"/>
              <a:ext cx="6595908" cy="501932"/>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𝑅𝑒𝑡𝑢𝑟𝑛</m:t>
                    </m:r>
                    <m:r>
                      <a:rPr lang="en-AU" sz="1400" b="0" i="1">
                        <a:latin typeface="Cambria Math"/>
                      </a:rPr>
                      <m:t> </m:t>
                    </m:r>
                    <m:r>
                      <a:rPr lang="en-AU" sz="1400" b="0" i="1">
                        <a:latin typeface="Cambria Math"/>
                      </a:rPr>
                      <m:t>𝑜𝑛</m:t>
                    </m:r>
                    <m:r>
                      <a:rPr lang="en-AU" sz="1400" b="0" i="1">
                        <a:latin typeface="Cambria Math"/>
                      </a:rPr>
                      <m:t> </m:t>
                    </m:r>
                    <m:r>
                      <a:rPr lang="en-AU" sz="1400" b="0" i="1">
                        <a:latin typeface="Cambria Math"/>
                      </a:rPr>
                      <m:t>𝐴𝑠𝑠𝑒𝑡𝑠</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𝑃𝑟𝑜𝑓𝑖𝑡</m:t>
                        </m:r>
                      </m:num>
                      <m:den>
                        <m:r>
                          <a:rPr lang="en-AU" sz="1400" b="0" i="1">
                            <a:latin typeface="Cambria Math"/>
                          </a:rPr>
                          <m:t>𝑇𝑜𝑡𝑎𝑙</m:t>
                        </m:r>
                        <m:r>
                          <a:rPr lang="en-AU" sz="1400" b="0" i="1">
                            <a:latin typeface="Cambria Math"/>
                          </a:rPr>
                          <m:t> </m:t>
                        </m:r>
                        <m:r>
                          <a:rPr lang="en-AU" sz="1400" b="0" i="1">
                            <a:latin typeface="Cambria Math"/>
                          </a:rPr>
                          <m:t>𝐴𝑠𝑠𝑒𝑡𝑠</m:t>
                        </m:r>
                      </m:den>
                    </m:f>
                  </m:oMath>
                </m:oMathPara>
              </a14:m>
              <a:endParaRPr lang="en-AU" sz="1400"/>
            </a:p>
          </xdr:txBody>
        </xdr:sp>
      </mc:Choice>
      <mc:Fallback xmlns="">
        <xdr:sp macro="" textlink="">
          <xdr:nvSpPr>
            <xdr:cNvPr id="5" name="TextBox 2">
              <a:extLst>
                <a:ext uri="{FF2B5EF4-FFF2-40B4-BE49-F238E27FC236}">
                  <a16:creationId xmlns:a16="http://schemas.microsoft.com/office/drawing/2014/main" xmlns:a14="http://schemas.microsoft.com/office/drawing/2010/main" xmlns="" id="{00000000-0008-0000-0C00-000005000000}"/>
                </a:ext>
              </a:extLst>
            </xdr:cNvPr>
            <xdr:cNvSpPr txBox="1"/>
          </xdr:nvSpPr>
          <xdr:spPr>
            <a:xfrm>
              <a:off x="9912743" y="3565890"/>
              <a:ext cx="6595908" cy="501932"/>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𝑅𝑒𝑡𝑢𝑟𝑛 𝑜𝑛 𝐴𝑠𝑠𝑒𝑡𝑠 𝑅𝑎𝑡𝑖𝑜=  (𝑁𝑒𝑡 𝑃𝑟𝑜𝑓𝑖𝑡)/(𝑇𝑜𝑡𝑎𝑙 𝐴𝑠𝑠𝑒𝑡𝑠)</a:t>
              </a:r>
              <a:endParaRPr lang="en-AU" sz="1400"/>
            </a:p>
          </xdr:txBody>
        </xdr:sp>
      </mc:Fallback>
    </mc:AlternateContent>
    <xdr:clientData/>
  </xdr:twoCellAnchor>
  <xdr:twoCellAnchor>
    <xdr:from>
      <xdr:col>8</xdr:col>
      <xdr:colOff>129472</xdr:colOff>
      <xdr:row>4</xdr:row>
      <xdr:rowOff>114187</xdr:rowOff>
    </xdr:from>
    <xdr:to>
      <xdr:col>16</xdr:col>
      <xdr:colOff>72232</xdr:colOff>
      <xdr:row>4</xdr:row>
      <xdr:rowOff>616119</xdr:rowOff>
    </xdr:to>
    <mc:AlternateContent xmlns:mc="http://schemas.openxmlformats.org/markup-compatibility/2006" xmlns:a14="http://schemas.microsoft.com/office/drawing/2010/main">
      <mc:Choice Requires="a14">
        <xdr:sp macro="" textlink="">
          <xdr:nvSpPr>
            <xdr:cNvPr id="6" name="TextBox 2">
              <a:extLst>
                <a:ext uri="{FF2B5EF4-FFF2-40B4-BE49-F238E27FC236}">
                  <a16:creationId xmlns:a16="http://schemas.microsoft.com/office/drawing/2014/main" id="{00000000-0008-0000-0C00-000006000000}"/>
                </a:ext>
              </a:extLst>
            </xdr:cNvPr>
            <xdr:cNvSpPr txBox="1"/>
          </xdr:nvSpPr>
          <xdr:spPr>
            <a:xfrm>
              <a:off x="9929826" y="2883461"/>
              <a:ext cx="6587220" cy="501932"/>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𝐺𝑟𝑜𝑠𝑠</m:t>
                    </m:r>
                    <m:r>
                      <a:rPr lang="en-AU" sz="1400" b="0" i="1">
                        <a:latin typeface="Cambria Math"/>
                      </a:rPr>
                      <m:t> </m:t>
                    </m:r>
                    <m:r>
                      <a:rPr lang="en-AU" sz="1400" b="0" i="1">
                        <a:latin typeface="Cambria Math"/>
                      </a:rPr>
                      <m:t>𝑃𝑟𝑜𝑓𝑖𝑡</m:t>
                    </m:r>
                    <m:r>
                      <a:rPr lang="en-AU" sz="1400" b="0" i="1">
                        <a:latin typeface="Cambria Math"/>
                      </a:rPr>
                      <m:t> </m:t>
                    </m:r>
                    <m:r>
                      <a:rPr lang="en-AU" sz="1400" b="0" i="1">
                        <a:latin typeface="Cambria Math"/>
                      </a:rPr>
                      <m:t>𝑀𝑎𝑟𝑔𝑖𝑛</m:t>
                    </m:r>
                    <m:r>
                      <a:rPr lang="en-AU" sz="1400" b="0" i="1">
                        <a:latin typeface="Cambria Math"/>
                      </a:rPr>
                      <m:t>= </m:t>
                    </m:r>
                    <m:f>
                      <m:fPr>
                        <m:ctrlPr>
                          <a:rPr lang="en-AU" sz="1400" b="0" i="1">
                            <a:latin typeface="Cambria Math" panose="02040503050406030204" pitchFamily="18" charset="0"/>
                          </a:rPr>
                        </m:ctrlPr>
                      </m:fPr>
                      <m:num>
                        <m:r>
                          <a:rPr lang="en-AU" sz="1400" i="1">
                            <a:latin typeface="Cambria Math"/>
                          </a:rPr>
                          <m:t>𝐺𝑟𝑜𝑠𝑠</m:t>
                        </m:r>
                        <m:r>
                          <a:rPr lang="en-AU" sz="1400" i="1">
                            <a:latin typeface="Cambria Math"/>
                          </a:rPr>
                          <m:t> </m:t>
                        </m:r>
                        <m:r>
                          <a:rPr lang="en-AU" sz="1400" i="1">
                            <a:latin typeface="Cambria Math"/>
                          </a:rPr>
                          <m:t>𝑃𝑟𝑜𝑓𝑖𝑡</m:t>
                        </m:r>
                      </m:num>
                      <m:den>
                        <m:r>
                          <a:rPr lang="en-AU" sz="1400" i="1">
                            <a:latin typeface="Cambria Math"/>
                          </a:rPr>
                          <m:t>𝑁𝑒𝑡</m:t>
                        </m:r>
                        <m:r>
                          <a:rPr lang="en-AU" sz="1400" i="1">
                            <a:latin typeface="Cambria Math"/>
                          </a:rPr>
                          <m:t> </m:t>
                        </m:r>
                        <m:r>
                          <a:rPr lang="en-AU" sz="1400" i="1">
                            <a:latin typeface="Cambria Math"/>
                          </a:rPr>
                          <m:t>𝑆𝑎𝑙𝑒𝑠</m:t>
                        </m:r>
                      </m:den>
                    </m:f>
                  </m:oMath>
                </m:oMathPara>
              </a14:m>
              <a:endParaRPr lang="en-AU" sz="1400"/>
            </a:p>
          </xdr:txBody>
        </xdr:sp>
      </mc:Choice>
      <mc:Fallback xmlns="">
        <xdr:sp macro="" textlink="">
          <xdr:nvSpPr>
            <xdr:cNvPr id="6" name="TextBox 2">
              <a:extLst>
                <a:ext uri="{FF2B5EF4-FFF2-40B4-BE49-F238E27FC236}">
                  <a16:creationId xmlns:a16="http://schemas.microsoft.com/office/drawing/2014/main" xmlns:a14="http://schemas.microsoft.com/office/drawing/2010/main" xmlns="" id="{00000000-0008-0000-0C00-000006000000}"/>
                </a:ext>
              </a:extLst>
            </xdr:cNvPr>
            <xdr:cNvSpPr txBox="1"/>
          </xdr:nvSpPr>
          <xdr:spPr>
            <a:xfrm>
              <a:off x="9929826" y="2883461"/>
              <a:ext cx="6587220" cy="501932"/>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𝐺𝑟𝑜𝑠𝑠 𝑃𝑟𝑜𝑓𝑖𝑡 𝑀𝑎𝑟𝑔𝑖𝑛= </a:t>
              </a:r>
              <a:r>
                <a:rPr lang="en-AU" sz="1400" i="0">
                  <a:latin typeface="Cambria Math"/>
                </a:rPr>
                <a:t> </a:t>
              </a:r>
              <a:r>
                <a:rPr lang="en-AU" sz="1400" b="0" i="0">
                  <a:latin typeface="Cambria Math"/>
                </a:rPr>
                <a:t>(</a:t>
              </a:r>
              <a:r>
                <a:rPr lang="en-AU" sz="1400" i="0">
                  <a:latin typeface="Cambria Math"/>
                </a:rPr>
                <a:t>𝐺𝑟𝑜𝑠𝑠 𝑃𝑟𝑜𝑓𝑖𝑡</a:t>
              </a:r>
              <a:r>
                <a:rPr lang="en-AU" sz="1400" b="0" i="0">
                  <a:latin typeface="Cambria Math"/>
                </a:rPr>
                <a:t>)/(</a:t>
              </a:r>
              <a:r>
                <a:rPr lang="en-AU" sz="1400" i="0">
                  <a:latin typeface="Cambria Math"/>
                </a:rPr>
                <a:t>𝑁𝑒𝑡 𝑆𝑎𝑙𝑒𝑠</a:t>
              </a:r>
              <a:r>
                <a:rPr lang="en-AU" sz="1400" b="0" i="0">
                  <a:latin typeface="Cambria Math"/>
                </a:rPr>
                <a:t>)</a:t>
              </a:r>
              <a:endParaRPr lang="en-AU" sz="1400"/>
            </a:p>
          </xdr:txBody>
        </xdr:sp>
      </mc:Fallback>
    </mc:AlternateContent>
    <xdr:clientData/>
  </xdr:twoCellAnchor>
  <xdr:twoCellAnchor>
    <xdr:from>
      <xdr:col>8</xdr:col>
      <xdr:colOff>137564</xdr:colOff>
      <xdr:row>6</xdr:row>
      <xdr:rowOff>32368</xdr:rowOff>
    </xdr:from>
    <xdr:to>
      <xdr:col>16</xdr:col>
      <xdr:colOff>80323</xdr:colOff>
      <xdr:row>6</xdr:row>
      <xdr:rowOff>570529</xdr:rowOff>
    </xdr:to>
    <mc:AlternateContent xmlns:mc="http://schemas.openxmlformats.org/markup-compatibility/2006" xmlns:a14="http://schemas.microsoft.com/office/drawing/2010/main">
      <mc:Choice Requires="a14">
        <xdr:sp macro="" textlink="">
          <xdr:nvSpPr>
            <xdr:cNvPr id="7" name="TextBox 2">
              <a:extLst>
                <a:ext uri="{FF2B5EF4-FFF2-40B4-BE49-F238E27FC236}">
                  <a16:creationId xmlns:a16="http://schemas.microsoft.com/office/drawing/2014/main" id="{00000000-0008-0000-0C00-000007000000}"/>
                </a:ext>
              </a:extLst>
            </xdr:cNvPr>
            <xdr:cNvSpPr txBox="1"/>
          </xdr:nvSpPr>
          <xdr:spPr>
            <a:xfrm>
              <a:off x="9937918" y="4186279"/>
              <a:ext cx="6587219" cy="538161"/>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𝑅𝑒𝑡𝑢𝑟𝑛</m:t>
                    </m:r>
                    <m:r>
                      <a:rPr lang="en-AU" sz="1400" b="0" i="1">
                        <a:latin typeface="Cambria Math"/>
                      </a:rPr>
                      <m:t> </m:t>
                    </m:r>
                    <m:r>
                      <a:rPr lang="en-AU" sz="1400" b="0" i="1">
                        <a:latin typeface="Cambria Math"/>
                      </a:rPr>
                      <m:t>𝑜𝑛</m:t>
                    </m:r>
                    <m:r>
                      <a:rPr lang="en-AU" sz="1400" b="0" i="1">
                        <a:latin typeface="Cambria Math"/>
                      </a:rPr>
                      <m:t> </m:t>
                    </m:r>
                    <m:r>
                      <a:rPr lang="en-AU" sz="1400" b="0" i="1">
                        <a:latin typeface="Cambria Math"/>
                      </a:rPr>
                      <m:t>𝐸𝑞𝑢𝑖𝑡𝑦</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𝑃𝑟𝑜𝑓𝑖𝑡</m:t>
                        </m:r>
                      </m:num>
                      <m:den>
                        <m:r>
                          <a:rPr lang="en-AU" sz="1400" b="0" i="1">
                            <a:latin typeface="Cambria Math"/>
                          </a:rPr>
                          <m:t>𝑇𝑜𝑡𝑎𝑙</m:t>
                        </m:r>
                        <m:r>
                          <a:rPr lang="en-AU" sz="1400" b="0" i="1">
                            <a:latin typeface="Cambria Math"/>
                          </a:rPr>
                          <m:t> </m:t>
                        </m:r>
                        <m:r>
                          <a:rPr lang="en-AU" sz="1400" b="0" i="1">
                            <a:latin typeface="Cambria Math"/>
                          </a:rPr>
                          <m:t>𝐸𝑞𝑢𝑖𝑡𝑦</m:t>
                        </m:r>
                      </m:den>
                    </m:f>
                  </m:oMath>
                </m:oMathPara>
              </a14:m>
              <a:endParaRPr lang="en-AU" sz="1400"/>
            </a:p>
          </xdr:txBody>
        </xdr:sp>
      </mc:Choice>
      <mc:Fallback xmlns="">
        <xdr:sp macro="" textlink="">
          <xdr:nvSpPr>
            <xdr:cNvPr id="7" name="TextBox 2">
              <a:extLst>
                <a:ext uri="{FF2B5EF4-FFF2-40B4-BE49-F238E27FC236}">
                  <a16:creationId xmlns:a16="http://schemas.microsoft.com/office/drawing/2014/main" xmlns:a14="http://schemas.microsoft.com/office/drawing/2010/main" xmlns="" id="{00000000-0008-0000-0C00-000007000000}"/>
                </a:ext>
              </a:extLst>
            </xdr:cNvPr>
            <xdr:cNvSpPr txBox="1"/>
          </xdr:nvSpPr>
          <xdr:spPr>
            <a:xfrm>
              <a:off x="9937918" y="4186279"/>
              <a:ext cx="6587219" cy="538161"/>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𝑅𝑒𝑡𝑢𝑟𝑛 𝑜𝑛 𝐸𝑞𝑢𝑖𝑡𝑦 𝑅𝑎𝑡𝑖𝑜=  (𝑁𝑒𝑡 𝑃𝑟𝑜𝑓𝑖𝑡)/(𝑇𝑜𝑡𝑎𝑙 𝐸𝑞𝑢𝑖𝑡𝑦)</a:t>
              </a:r>
              <a:endParaRPr lang="en-AU" sz="1400"/>
            </a:p>
          </xdr:txBody>
        </xdr:sp>
      </mc:Fallback>
    </mc:AlternateContent>
    <xdr:clientData/>
  </xdr:twoCellAnchor>
  <xdr:twoCellAnchor>
    <xdr:from>
      <xdr:col>8</xdr:col>
      <xdr:colOff>197804</xdr:colOff>
      <xdr:row>9</xdr:row>
      <xdr:rowOff>40459</xdr:rowOff>
    </xdr:from>
    <xdr:to>
      <xdr:col>16</xdr:col>
      <xdr:colOff>80323</xdr:colOff>
      <xdr:row>9</xdr:row>
      <xdr:rowOff>537583</xdr:rowOff>
    </xdr:to>
    <mc:AlternateContent xmlns:mc="http://schemas.openxmlformats.org/markup-compatibility/2006" xmlns:a14="http://schemas.microsoft.com/office/drawing/2010/main">
      <mc:Choice Requires="a14">
        <xdr:sp macro="" textlink="">
          <xdr:nvSpPr>
            <xdr:cNvPr id="8" name="TextBox 5">
              <a:extLst>
                <a:ext uri="{FF2B5EF4-FFF2-40B4-BE49-F238E27FC236}">
                  <a16:creationId xmlns:a16="http://schemas.microsoft.com/office/drawing/2014/main" id="{00000000-0008-0000-0C00-000008000000}"/>
                </a:ext>
              </a:extLst>
            </xdr:cNvPr>
            <xdr:cNvSpPr txBox="1"/>
          </xdr:nvSpPr>
          <xdr:spPr>
            <a:xfrm>
              <a:off x="9998158" y="6271327"/>
              <a:ext cx="6526979" cy="497124"/>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𝐶𝑢𝑟𝑟𝑒𝑛𝑡</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𝐶𝑢𝑟𝑟𝑒𝑛𝑡</m:t>
                        </m:r>
                        <m:r>
                          <a:rPr lang="en-AU" sz="1400" b="0" i="1">
                            <a:latin typeface="Cambria Math"/>
                          </a:rPr>
                          <m:t> </m:t>
                        </m:r>
                        <m:r>
                          <a:rPr lang="en-AU" sz="1400" b="0" i="1">
                            <a:latin typeface="Cambria Math"/>
                          </a:rPr>
                          <m:t>𝐴𝑠𝑠𝑒𝑡𝑠</m:t>
                        </m:r>
                      </m:num>
                      <m:den>
                        <m:r>
                          <a:rPr lang="en-AU" sz="1400" b="0" i="1">
                            <a:latin typeface="Cambria Math"/>
                          </a:rPr>
                          <m:t>𝐶𝑢𝑟𝑟𝑒𝑛𝑡</m:t>
                        </m:r>
                        <m:r>
                          <a:rPr lang="en-AU" sz="1400" b="0" i="1">
                            <a:latin typeface="Cambria Math"/>
                          </a:rPr>
                          <m:t> </m:t>
                        </m:r>
                        <m:r>
                          <a:rPr lang="en-AU" sz="1400" b="0" i="1">
                            <a:latin typeface="Cambria Math"/>
                          </a:rPr>
                          <m:t>𝐿𝑖𝑎𝑏𝑖𝑙𝑖𝑡𝑖𝑒𝑠</m:t>
                        </m:r>
                      </m:den>
                    </m:f>
                  </m:oMath>
                </m:oMathPara>
              </a14:m>
              <a:endParaRPr lang="en-AU" sz="1400"/>
            </a:p>
          </xdr:txBody>
        </xdr:sp>
      </mc:Choice>
      <mc:Fallback xmlns="">
        <xdr:sp macro="" textlink="">
          <xdr:nvSpPr>
            <xdr:cNvPr id="8" name="TextBox 5">
              <a:extLst>
                <a:ext uri="{FF2B5EF4-FFF2-40B4-BE49-F238E27FC236}">
                  <a16:creationId xmlns:a16="http://schemas.microsoft.com/office/drawing/2014/main" xmlns:a14="http://schemas.microsoft.com/office/drawing/2010/main" xmlns="" id="{00000000-0008-0000-0C00-000008000000}"/>
                </a:ext>
              </a:extLst>
            </xdr:cNvPr>
            <xdr:cNvSpPr txBox="1"/>
          </xdr:nvSpPr>
          <xdr:spPr>
            <a:xfrm>
              <a:off x="9998158" y="6271327"/>
              <a:ext cx="6526979" cy="497124"/>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𝐶𝑢𝑟𝑟𝑒𝑛𝑡 𝑅𝑎𝑡𝑖𝑜=  (𝐶𝑢𝑟𝑟𝑒𝑛𝑡 𝐴𝑠𝑠𝑒𝑡𝑠)/(𝐶𝑢𝑟𝑟𝑒𝑛𝑡 𝐿𝑖𝑎𝑏𝑖𝑙𝑖𝑡𝑖𝑒𝑠)</a:t>
              </a:r>
              <a:endParaRPr lang="en-AU" sz="1400"/>
            </a:p>
          </xdr:txBody>
        </xdr:sp>
      </mc:Fallback>
    </mc:AlternateContent>
    <xdr:clientData/>
  </xdr:twoCellAnchor>
  <xdr:twoCellAnchor>
    <xdr:from>
      <xdr:col>8</xdr:col>
      <xdr:colOff>129472</xdr:colOff>
      <xdr:row>13</xdr:row>
      <xdr:rowOff>16184</xdr:rowOff>
    </xdr:from>
    <xdr:to>
      <xdr:col>16</xdr:col>
      <xdr:colOff>72232</xdr:colOff>
      <xdr:row>13</xdr:row>
      <xdr:rowOff>917098</xdr:rowOff>
    </xdr:to>
    <mc:AlternateContent xmlns:mc="http://schemas.openxmlformats.org/markup-compatibility/2006" xmlns:a14="http://schemas.microsoft.com/office/drawing/2010/main">
      <mc:Choice Requires="a14">
        <xdr:sp macro="" textlink="">
          <xdr:nvSpPr>
            <xdr:cNvPr id="9" name="TextBox 2">
              <a:extLst>
                <a:ext uri="{FF2B5EF4-FFF2-40B4-BE49-F238E27FC236}">
                  <a16:creationId xmlns:a16="http://schemas.microsoft.com/office/drawing/2014/main" id="{00000000-0008-0000-0C00-000009000000}"/>
                </a:ext>
              </a:extLst>
            </xdr:cNvPr>
            <xdr:cNvSpPr txBox="1"/>
          </xdr:nvSpPr>
          <xdr:spPr>
            <a:xfrm>
              <a:off x="9929826" y="9016325"/>
              <a:ext cx="6587220" cy="900914"/>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𝐴𝑐𝑐𝑜𝑢𝑛𝑡𝑠</m:t>
                    </m:r>
                    <m:r>
                      <a:rPr lang="en-AU" sz="1400" b="0" i="1">
                        <a:latin typeface="Cambria Math"/>
                      </a:rPr>
                      <m:t> </m:t>
                    </m:r>
                    <m:r>
                      <a:rPr lang="en-AU" sz="1400" b="0" i="1">
                        <a:latin typeface="Cambria Math"/>
                      </a:rPr>
                      <m:t>𝑅𝑒𝑐𝑒𝑖𝑣𝑎𝑏𝑙𝑒</m:t>
                    </m:r>
                    <m:r>
                      <a:rPr lang="en-AU" sz="1400" b="0" i="1">
                        <a:latin typeface="Cambria Math"/>
                      </a:rPr>
                      <m:t> </m:t>
                    </m:r>
                    <m:r>
                      <a:rPr lang="en-AU" sz="1400" b="0" i="1">
                        <a:latin typeface="Cambria Math"/>
                      </a:rPr>
                      <m:t>𝑇𝑢𝑟𝑛𝑜𝑣𝑒𝑟</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𝑆𝑎𝑙𝑒𝑠</m:t>
                        </m:r>
                      </m:num>
                      <m:den>
                        <m:r>
                          <a:rPr lang="en-AU" sz="1400" b="0" i="1">
                            <a:latin typeface="Cambria Math"/>
                          </a:rPr>
                          <m:t>𝐴𝑣𝑒𝑟𝑎𝑔𝑒</m:t>
                        </m:r>
                        <m:r>
                          <a:rPr lang="en-AU" sz="1400" b="0" i="1">
                            <a:latin typeface="Cambria Math"/>
                          </a:rPr>
                          <m:t> </m:t>
                        </m:r>
                        <m:r>
                          <a:rPr lang="en-AU" sz="1400" b="0" i="1">
                            <a:latin typeface="Cambria Math"/>
                          </a:rPr>
                          <m:t>𝐴𝑐𝑐𝑜𝑢𝑛𝑡𝑠</m:t>
                        </m:r>
                        <m:r>
                          <a:rPr lang="en-AU" sz="1400" b="0" i="1">
                            <a:latin typeface="Cambria Math"/>
                          </a:rPr>
                          <m:t> </m:t>
                        </m:r>
                        <m:r>
                          <a:rPr lang="en-AU" sz="1400" b="0" i="1">
                            <a:latin typeface="Cambria Math"/>
                          </a:rPr>
                          <m:t>𝑅𝑒𝑐𝑒𝑖𝑣𝑎𝑏𝑙𝑒</m:t>
                        </m:r>
                      </m:den>
                    </m:f>
                  </m:oMath>
                </m:oMathPara>
              </a14:m>
              <a:endParaRPr lang="en-AU" sz="1400"/>
            </a:p>
          </xdr:txBody>
        </xdr:sp>
      </mc:Choice>
      <mc:Fallback xmlns="">
        <xdr:sp macro="" textlink="">
          <xdr:nvSpPr>
            <xdr:cNvPr id="9" name="TextBox 2">
              <a:extLst>
                <a:ext uri="{FF2B5EF4-FFF2-40B4-BE49-F238E27FC236}">
                  <a16:creationId xmlns:a16="http://schemas.microsoft.com/office/drawing/2014/main" xmlns:a14="http://schemas.microsoft.com/office/drawing/2010/main" xmlns="" id="{00000000-0008-0000-0C00-000009000000}"/>
                </a:ext>
              </a:extLst>
            </xdr:cNvPr>
            <xdr:cNvSpPr txBox="1"/>
          </xdr:nvSpPr>
          <xdr:spPr>
            <a:xfrm>
              <a:off x="9929826" y="9016325"/>
              <a:ext cx="6587220" cy="900914"/>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𝐴𝑐𝑐𝑜𝑢𝑛𝑡𝑠 𝑅𝑒𝑐𝑒𝑖𝑣𝑎𝑏𝑙𝑒 𝑇𝑢𝑟𝑛𝑜𝑣𝑒𝑟 𝑅𝑎𝑡𝑖𝑜=  (𝑁𝑒𝑡 𝑆𝑎𝑙𝑒𝑠)/(𝐴𝑣𝑒𝑟𝑎𝑔𝑒 𝐴𝑐𝑐𝑜𝑢𝑛𝑡𝑠 𝑅𝑒𝑐𝑒𝑖𝑣𝑎𝑏𝑙𝑒)</a:t>
              </a:r>
              <a:endParaRPr lang="en-AU" sz="1400"/>
            </a:p>
          </xdr:txBody>
        </xdr:sp>
      </mc:Fallback>
    </mc:AlternateContent>
    <xdr:clientData/>
  </xdr:twoCellAnchor>
  <xdr:twoCellAnchor>
    <xdr:from>
      <xdr:col>8</xdr:col>
      <xdr:colOff>137565</xdr:colOff>
      <xdr:row>14</xdr:row>
      <xdr:rowOff>0</xdr:rowOff>
    </xdr:from>
    <xdr:to>
      <xdr:col>16</xdr:col>
      <xdr:colOff>80920</xdr:colOff>
      <xdr:row>14</xdr:row>
      <xdr:rowOff>539635</xdr:rowOff>
    </xdr:to>
    <mc:AlternateContent xmlns:mc="http://schemas.openxmlformats.org/markup-compatibility/2006" xmlns:a14="http://schemas.microsoft.com/office/drawing/2010/main">
      <mc:Choice Requires="a14">
        <xdr:sp macro="" textlink="">
          <xdr:nvSpPr>
            <xdr:cNvPr id="10" name="TextBox 2">
              <a:extLst>
                <a:ext uri="{FF2B5EF4-FFF2-40B4-BE49-F238E27FC236}">
                  <a16:creationId xmlns:a16="http://schemas.microsoft.com/office/drawing/2014/main" id="{00000000-0008-0000-0C00-00000A000000}"/>
                </a:ext>
              </a:extLst>
            </xdr:cNvPr>
            <xdr:cNvSpPr txBox="1"/>
          </xdr:nvSpPr>
          <xdr:spPr>
            <a:xfrm>
              <a:off x="7436581" y="5583504"/>
              <a:ext cx="5373111" cy="539635"/>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𝐼𝑛𝑣𝑒𝑛𝑡𝑜𝑟𝑦</m:t>
                    </m:r>
                    <m:r>
                      <a:rPr lang="en-AU" sz="1400" b="0" i="1">
                        <a:latin typeface="Cambria Math"/>
                      </a:rPr>
                      <m:t> </m:t>
                    </m:r>
                    <m:r>
                      <a:rPr lang="en-AU" sz="1400" b="0" i="1">
                        <a:latin typeface="Cambria Math"/>
                      </a:rPr>
                      <m:t>𝑇𝑢𝑟𝑛𝑜𝑣𝑒𝑟</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𝐶𝑜𝑠𝑡</m:t>
                        </m:r>
                        <m:r>
                          <a:rPr lang="en-AU" sz="1400" b="0" i="1">
                            <a:latin typeface="Cambria Math"/>
                          </a:rPr>
                          <m:t> </m:t>
                        </m:r>
                        <m:r>
                          <a:rPr lang="en-AU" sz="1400" b="0" i="1">
                            <a:latin typeface="Cambria Math"/>
                          </a:rPr>
                          <m:t>𝑜𝑓</m:t>
                        </m:r>
                        <m:r>
                          <a:rPr lang="en-AU" sz="1400" b="0" i="1">
                            <a:latin typeface="Cambria Math"/>
                          </a:rPr>
                          <m:t> </m:t>
                        </m:r>
                        <m:r>
                          <a:rPr lang="en-AU" sz="1400" b="0" i="1">
                            <a:latin typeface="Cambria Math"/>
                          </a:rPr>
                          <m:t>𝑆𝑎𝑙𝑒𝑠</m:t>
                        </m:r>
                      </m:num>
                      <m:den>
                        <m:r>
                          <a:rPr lang="en-AU" sz="1400" b="0" i="1">
                            <a:latin typeface="Cambria Math"/>
                          </a:rPr>
                          <m:t>𝐴𝑣𝑒𝑟𝑎𝑔𝑒</m:t>
                        </m:r>
                        <m:r>
                          <a:rPr lang="en-AU" sz="1400" b="0" i="1">
                            <a:latin typeface="Cambria Math"/>
                          </a:rPr>
                          <m:t> </m:t>
                        </m:r>
                        <m:r>
                          <a:rPr lang="en-AU" sz="1400" b="0" i="1">
                            <a:latin typeface="Cambria Math"/>
                          </a:rPr>
                          <m:t>𝐼𝑛𝑣𝑒𝑛𝑡𝑜𝑟𝑦</m:t>
                        </m:r>
                        <m:r>
                          <a:rPr lang="en-AU" sz="1400" b="0" i="1">
                            <a:latin typeface="Cambria Math"/>
                          </a:rPr>
                          <m:t> </m:t>
                        </m:r>
                        <m:r>
                          <a:rPr lang="en-AU" sz="1400" b="0" i="1">
                            <a:latin typeface="Cambria Math"/>
                          </a:rPr>
                          <m:t>𝐵𝑎𝑙𝑎𝑛𝑐𝑒</m:t>
                        </m:r>
                      </m:den>
                    </m:f>
                  </m:oMath>
                </m:oMathPara>
              </a14:m>
              <a:endParaRPr lang="en-AU" sz="1400"/>
            </a:p>
          </xdr:txBody>
        </xdr:sp>
      </mc:Choice>
      <mc:Fallback xmlns="">
        <xdr:sp macro="" textlink="">
          <xdr:nvSpPr>
            <xdr:cNvPr id="10" name="TextBox 2"/>
            <xdr:cNvSpPr txBox="1"/>
          </xdr:nvSpPr>
          <xdr:spPr>
            <a:xfrm>
              <a:off x="7436581" y="5583504"/>
              <a:ext cx="5373111" cy="539635"/>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𝐼𝑛𝑣𝑒𝑛𝑡𝑜𝑟𝑦 𝑇𝑢𝑟𝑛𝑜𝑣𝑒𝑟 𝑅𝑎𝑡𝑖𝑜=  (𝐶𝑜𝑠𝑡 𝑜𝑓 𝑆𝑎𝑙𝑒𝑠)/(𝐴𝑣𝑒𝑟𝑎𝑔𝑒 𝐼𝑛𝑣𝑒𝑛𝑡𝑜𝑟𝑦 𝐵𝑎𝑙𝑎𝑛𝑐𝑒)</a:t>
              </a:r>
              <a:endParaRPr lang="en-AU" sz="1400"/>
            </a:p>
          </xdr:txBody>
        </xdr:sp>
      </mc:Fallback>
    </mc:AlternateContent>
    <xdr:clientData/>
  </xdr:twoCellAnchor>
  <xdr:twoCellAnchor>
    <xdr:from>
      <xdr:col>8</xdr:col>
      <xdr:colOff>153749</xdr:colOff>
      <xdr:row>12</xdr:row>
      <xdr:rowOff>24276</xdr:rowOff>
    </xdr:from>
    <xdr:to>
      <xdr:col>16</xdr:col>
      <xdr:colOff>88417</xdr:colOff>
      <xdr:row>12</xdr:row>
      <xdr:rowOff>525695</xdr:rowOff>
    </xdr:to>
    <mc:AlternateContent xmlns:mc="http://schemas.openxmlformats.org/markup-compatibility/2006" xmlns:a14="http://schemas.microsoft.com/office/drawing/2010/main">
      <mc:Choice Requires="a14">
        <xdr:sp macro="" textlink="">
          <xdr:nvSpPr>
            <xdr:cNvPr id="11" name="TextBox 2">
              <a:extLst>
                <a:ext uri="{FF2B5EF4-FFF2-40B4-BE49-F238E27FC236}">
                  <a16:creationId xmlns:a16="http://schemas.microsoft.com/office/drawing/2014/main" id="{00000000-0008-0000-0C00-00000B000000}"/>
                </a:ext>
              </a:extLst>
            </xdr:cNvPr>
            <xdr:cNvSpPr txBox="1"/>
          </xdr:nvSpPr>
          <xdr:spPr>
            <a:xfrm>
              <a:off x="7452765" y="6166131"/>
              <a:ext cx="5364424" cy="501419"/>
            </a:xfrm>
            <a:prstGeom prst="rect">
              <a:avLst/>
            </a:prstGeom>
            <a:noFill/>
            <a:ln w="28575">
              <a:solidFill>
                <a:schemeClr val="accent3">
                  <a:lumMod val="60000"/>
                  <a:lumOff val="40000"/>
                </a:schemeClr>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𝑄𝑢𝑖𝑐𝑘</m:t>
                    </m:r>
                    <m:r>
                      <a:rPr lang="en-AU" sz="1400" b="0" i="1">
                        <a:latin typeface="Cambria Math"/>
                      </a:rPr>
                      <m:t> </m:t>
                    </m:r>
                    <m:r>
                      <a:rPr lang="en-AU" sz="1400" b="0" i="1">
                        <a:latin typeface="Cambria Math"/>
                      </a:rPr>
                      <m:t>𝑅𝑎𝑡𝑖𝑜</m:t>
                    </m:r>
                    <m:r>
                      <a:rPr lang="en-AU" sz="1400" b="0" i="1">
                        <a:latin typeface="Cambria Math"/>
                      </a:rPr>
                      <m:t> </m:t>
                    </m:r>
                    <m:r>
                      <a:rPr lang="en-AU" sz="1400" b="0" i="1">
                        <a:latin typeface="Cambria Math"/>
                      </a:rPr>
                      <m:t>𝑂𝑅</m:t>
                    </m:r>
                    <m:r>
                      <a:rPr lang="en-AU" sz="1400" b="0" i="1">
                        <a:latin typeface="Cambria Math"/>
                      </a:rPr>
                      <m:t> </m:t>
                    </m:r>
                    <m:r>
                      <a:rPr lang="en-AU" sz="1400" b="0" i="1">
                        <a:latin typeface="Cambria Math"/>
                      </a:rPr>
                      <m:t>𝐴𝑐𝑖𝑑</m:t>
                    </m:r>
                    <m:r>
                      <a:rPr lang="en-AU" sz="1400" b="0" i="1">
                        <a:latin typeface="Cambria Math"/>
                      </a:rPr>
                      <m:t> </m:t>
                    </m:r>
                    <m:r>
                      <a:rPr lang="en-AU" sz="1400" b="0" i="1">
                        <a:latin typeface="Cambria Math"/>
                      </a:rPr>
                      <m:t>𝑇𝑒𝑠𝑡</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𝐶𝑎𝑠h</m:t>
                        </m:r>
                        <m:r>
                          <a:rPr lang="en-AU" sz="1400" b="0" i="1">
                            <a:latin typeface="Cambria Math"/>
                          </a:rPr>
                          <m:t>+</m:t>
                        </m:r>
                        <m:r>
                          <a:rPr lang="en-AU" sz="1400" b="0" i="1">
                            <a:latin typeface="Cambria Math"/>
                          </a:rPr>
                          <m:t>𝐴𝑐𝑐𝑜𝑢𝑛𝑡𝑠</m:t>
                        </m:r>
                        <m:r>
                          <a:rPr lang="en-AU" sz="1400" b="0" i="1">
                            <a:latin typeface="Cambria Math"/>
                          </a:rPr>
                          <m:t> </m:t>
                        </m:r>
                        <m:r>
                          <a:rPr lang="en-AU" sz="1400" b="0" i="1">
                            <a:latin typeface="Cambria Math"/>
                          </a:rPr>
                          <m:t>𝑅𝑒𝑐𝑒𝑖𝑣𝑎𝑏𝑙𝑒</m:t>
                        </m:r>
                      </m:num>
                      <m:den>
                        <m:r>
                          <a:rPr lang="en-AU" sz="1400" b="0" i="1">
                            <a:latin typeface="Cambria Math"/>
                          </a:rPr>
                          <m:t>𝐶𝑢𝑟𝑟𝑒𝑛𝑡</m:t>
                        </m:r>
                        <m:r>
                          <a:rPr lang="en-AU" sz="1400" b="0" i="1">
                            <a:latin typeface="Cambria Math"/>
                          </a:rPr>
                          <m:t> </m:t>
                        </m:r>
                        <m:r>
                          <a:rPr lang="en-AU" sz="1400" b="0" i="1">
                            <a:latin typeface="Cambria Math"/>
                          </a:rPr>
                          <m:t>𝐿𝑖𝑎𝑏𝑖𝑙𝑖𝑡𝑖𝑒𝑠</m:t>
                        </m:r>
                      </m:den>
                    </m:f>
                  </m:oMath>
                </m:oMathPara>
              </a14:m>
              <a:endParaRPr lang="en-AU" sz="1400"/>
            </a:p>
          </xdr:txBody>
        </xdr:sp>
      </mc:Choice>
      <mc:Fallback xmlns="">
        <xdr:sp macro="" textlink="">
          <xdr:nvSpPr>
            <xdr:cNvPr id="11" name="TextBox 2">
              <a:extLst>
                <a:ext uri="{FF2B5EF4-FFF2-40B4-BE49-F238E27FC236}">
                  <a16:creationId xmlns:a16="http://schemas.microsoft.com/office/drawing/2014/main" xmlns:a14="http://schemas.microsoft.com/office/drawing/2010/main" xmlns="" id="{00000000-0008-0000-0C00-00000B000000}"/>
                </a:ext>
              </a:extLst>
            </xdr:cNvPr>
            <xdr:cNvSpPr txBox="1"/>
          </xdr:nvSpPr>
          <xdr:spPr>
            <a:xfrm>
              <a:off x="7452765" y="6166131"/>
              <a:ext cx="5364424" cy="501419"/>
            </a:xfrm>
            <a:prstGeom prst="rect">
              <a:avLst/>
            </a:prstGeom>
            <a:noFill/>
            <a:ln w="28575">
              <a:solidFill>
                <a:schemeClr val="accent3">
                  <a:lumMod val="60000"/>
                  <a:lumOff val="40000"/>
                </a:schemeClr>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𝑄𝑢𝑖𝑐𝑘 𝑅𝑎𝑡𝑖𝑜 𝑂𝑅 𝐴𝑐𝑖𝑑 𝑇𝑒𝑠𝑡 𝑅𝑎𝑡𝑖𝑜=  (𝐶𝑎𝑠ℎ+𝐴𝑐𝑐𝑜𝑢𝑛𝑡𝑠 𝑅𝑒𝑐𝑒𝑖𝑣𝑎𝑏𝑙𝑒)/(𝐶𝑢𝑟𝑟𝑒𝑛𝑡 𝐿𝑖𝑎𝑏𝑖𝑙𝑖𝑡𝑖𝑒𝑠)</a:t>
              </a:r>
              <a:endParaRPr lang="en-AU" sz="1400"/>
            </a:p>
          </xdr:txBody>
        </xdr:sp>
      </mc:Fallback>
    </mc:AlternateContent>
    <xdr:clientData/>
  </xdr:twoCellAnchor>
  <xdr:twoCellAnchor>
    <xdr:from>
      <xdr:col>8</xdr:col>
      <xdr:colOff>169933</xdr:colOff>
      <xdr:row>11</xdr:row>
      <xdr:rowOff>16184</xdr:rowOff>
    </xdr:from>
    <xdr:to>
      <xdr:col>16</xdr:col>
      <xdr:colOff>89013</xdr:colOff>
      <xdr:row>11</xdr:row>
      <xdr:rowOff>517603</xdr:rowOff>
    </xdr:to>
    <mc:AlternateContent xmlns:mc="http://schemas.openxmlformats.org/markup-compatibility/2006" xmlns:a14="http://schemas.microsoft.com/office/drawing/2010/main">
      <mc:Choice Requires="a14">
        <xdr:sp macro="" textlink="">
          <xdr:nvSpPr>
            <xdr:cNvPr id="12" name="TextBox 2">
              <a:extLst>
                <a:ext uri="{FF2B5EF4-FFF2-40B4-BE49-F238E27FC236}">
                  <a16:creationId xmlns:a16="http://schemas.microsoft.com/office/drawing/2014/main" id="{00000000-0008-0000-0C00-00000C000000}"/>
                </a:ext>
              </a:extLst>
            </xdr:cNvPr>
            <xdr:cNvSpPr txBox="1"/>
          </xdr:nvSpPr>
          <xdr:spPr>
            <a:xfrm>
              <a:off x="7468949" y="6716389"/>
              <a:ext cx="5348836"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𝐶𝑎𝑠h</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𝐶𝑎𝑠h</m:t>
                        </m:r>
                      </m:num>
                      <m:den>
                        <m:r>
                          <a:rPr lang="en-AU" sz="1400" b="0" i="1">
                            <a:latin typeface="Cambria Math"/>
                          </a:rPr>
                          <m:t>𝐶𝑢𝑟𝑟𝑒𝑛𝑡</m:t>
                        </m:r>
                        <m:r>
                          <a:rPr lang="en-AU" sz="1400" b="0" i="1">
                            <a:latin typeface="Cambria Math"/>
                          </a:rPr>
                          <m:t> </m:t>
                        </m:r>
                        <m:r>
                          <a:rPr lang="en-AU" sz="1400" b="0" i="1">
                            <a:latin typeface="Cambria Math"/>
                          </a:rPr>
                          <m:t>𝐿𝑖𝑎𝑏𝑖𝑙𝑖𝑡𝑖𝑒𝑠</m:t>
                        </m:r>
                      </m:den>
                    </m:f>
                  </m:oMath>
                </m:oMathPara>
              </a14:m>
              <a:endParaRPr lang="en-AU" sz="1400"/>
            </a:p>
          </xdr:txBody>
        </xdr:sp>
      </mc:Choice>
      <mc:Fallback xmlns="">
        <xdr:sp macro="" textlink="">
          <xdr:nvSpPr>
            <xdr:cNvPr id="12" name="TextBox 2">
              <a:extLst>
                <a:ext uri="{FF2B5EF4-FFF2-40B4-BE49-F238E27FC236}">
                  <a16:creationId xmlns:a16="http://schemas.microsoft.com/office/drawing/2014/main" xmlns:a14="http://schemas.microsoft.com/office/drawing/2010/main" xmlns="" id="{00000000-0008-0000-0C00-00000C000000}"/>
                </a:ext>
              </a:extLst>
            </xdr:cNvPr>
            <xdr:cNvSpPr txBox="1"/>
          </xdr:nvSpPr>
          <xdr:spPr>
            <a:xfrm>
              <a:off x="7468949" y="6716389"/>
              <a:ext cx="5348836"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𝐶𝑎𝑠ℎ 𝑅𝑎𝑡𝑖𝑜=  𝐶𝑎𝑠ℎ/(𝐶𝑢𝑟𝑟𝑒𝑛𝑡 𝐿𝑖𝑎𝑏𝑖𝑙𝑖𝑡𝑖𝑒𝑠)</a:t>
              </a:r>
              <a:endParaRPr lang="en-AU" sz="1400"/>
            </a:p>
          </xdr:txBody>
        </xdr:sp>
      </mc:Fallback>
    </mc:AlternateContent>
    <xdr:clientData/>
  </xdr:twoCellAnchor>
  <xdr:twoCellAnchor>
    <xdr:from>
      <xdr:col>8</xdr:col>
      <xdr:colOff>178025</xdr:colOff>
      <xdr:row>16</xdr:row>
      <xdr:rowOff>24276</xdr:rowOff>
    </xdr:from>
    <xdr:to>
      <xdr:col>16</xdr:col>
      <xdr:colOff>96507</xdr:colOff>
      <xdr:row>16</xdr:row>
      <xdr:rowOff>525695</xdr:rowOff>
    </xdr:to>
    <mc:AlternateContent xmlns:mc="http://schemas.openxmlformats.org/markup-compatibility/2006" xmlns:a14="http://schemas.microsoft.com/office/drawing/2010/main">
      <mc:Choice Requires="a14">
        <xdr:sp macro="" textlink="">
          <xdr:nvSpPr>
            <xdr:cNvPr id="13" name="TextBox 5">
              <a:extLst>
                <a:ext uri="{FF2B5EF4-FFF2-40B4-BE49-F238E27FC236}">
                  <a16:creationId xmlns:a16="http://schemas.microsoft.com/office/drawing/2014/main" id="{00000000-0008-0000-0C00-00000D000000}"/>
                </a:ext>
              </a:extLst>
            </xdr:cNvPr>
            <xdr:cNvSpPr txBox="1"/>
          </xdr:nvSpPr>
          <xdr:spPr>
            <a:xfrm>
              <a:off x="7477041" y="7841182"/>
              <a:ext cx="5348238"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𝐷𝑒𝑏𝑡</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𝑇𝑜𝑡𝑎𝑙</m:t>
                        </m:r>
                        <m:r>
                          <a:rPr lang="en-AU" sz="1400" b="0" i="1">
                            <a:latin typeface="Cambria Math"/>
                          </a:rPr>
                          <m:t> </m:t>
                        </m:r>
                        <m:r>
                          <a:rPr lang="en-AU" sz="1400" b="0" i="1">
                            <a:latin typeface="Cambria Math"/>
                          </a:rPr>
                          <m:t>𝐿𝑖𝑎𝑏𝑖𝑙𝑖𝑡𝑖𝑒𝑠</m:t>
                        </m:r>
                      </m:num>
                      <m:den>
                        <m:r>
                          <a:rPr lang="en-AU" sz="1400" b="0" i="1">
                            <a:latin typeface="Cambria Math"/>
                          </a:rPr>
                          <m:t>𝑇𝑜𝑡𝑎𝑙</m:t>
                        </m:r>
                        <m:r>
                          <a:rPr lang="en-AU" sz="1400" b="0" i="1">
                            <a:latin typeface="Cambria Math"/>
                          </a:rPr>
                          <m:t> </m:t>
                        </m:r>
                        <m:r>
                          <a:rPr lang="en-AU" sz="1400" b="0" i="1">
                            <a:latin typeface="Cambria Math"/>
                          </a:rPr>
                          <m:t>𝐴𝑠𝑠𝑒𝑡𝑠</m:t>
                        </m:r>
                      </m:den>
                    </m:f>
                  </m:oMath>
                </m:oMathPara>
              </a14:m>
              <a:endParaRPr lang="en-AU" sz="1400"/>
            </a:p>
          </xdr:txBody>
        </xdr:sp>
      </mc:Choice>
      <mc:Fallback xmlns="">
        <xdr:sp macro="" textlink="">
          <xdr:nvSpPr>
            <xdr:cNvPr id="13" name="TextBox 5"/>
            <xdr:cNvSpPr txBox="1"/>
          </xdr:nvSpPr>
          <xdr:spPr>
            <a:xfrm>
              <a:off x="7477041" y="7841182"/>
              <a:ext cx="5348238"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𝐷𝑒𝑏𝑡 𝑅𝑎𝑡𝑖𝑜=  (𝑇𝑜𝑡𝑎𝑙 𝐿𝑖𝑎𝑏𝑖𝑙𝑖𝑡𝑖𝑒𝑠)/(𝑇𝑜𝑡𝑎𝑙 𝐴𝑠𝑠𝑒𝑡𝑠)</a:t>
              </a:r>
              <a:endParaRPr lang="en-AU" sz="1400"/>
            </a:p>
          </xdr:txBody>
        </xdr:sp>
      </mc:Fallback>
    </mc:AlternateContent>
    <xdr:clientData/>
  </xdr:twoCellAnchor>
  <xdr:twoCellAnchor>
    <xdr:from>
      <xdr:col>8</xdr:col>
      <xdr:colOff>178025</xdr:colOff>
      <xdr:row>17</xdr:row>
      <xdr:rowOff>8092</xdr:rowOff>
    </xdr:from>
    <xdr:to>
      <xdr:col>16</xdr:col>
      <xdr:colOff>88415</xdr:colOff>
      <xdr:row>17</xdr:row>
      <xdr:rowOff>546253</xdr:rowOff>
    </xdr:to>
    <mc:AlternateContent xmlns:mc="http://schemas.openxmlformats.org/markup-compatibility/2006" xmlns:a14="http://schemas.microsoft.com/office/drawing/2010/main">
      <mc:Choice Requires="a14">
        <xdr:sp macro="" textlink="">
          <xdr:nvSpPr>
            <xdr:cNvPr id="14" name="TextBox 6">
              <a:extLst>
                <a:ext uri="{FF2B5EF4-FFF2-40B4-BE49-F238E27FC236}">
                  <a16:creationId xmlns:a16="http://schemas.microsoft.com/office/drawing/2014/main" id="{00000000-0008-0000-0C00-00000E000000}"/>
                </a:ext>
              </a:extLst>
            </xdr:cNvPr>
            <xdr:cNvSpPr txBox="1"/>
          </xdr:nvSpPr>
          <xdr:spPr>
            <a:xfrm>
              <a:off x="7477041" y="8383349"/>
              <a:ext cx="5340146" cy="538161"/>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𝐷𝑒𝑏𝑡</m:t>
                    </m:r>
                    <m:r>
                      <a:rPr lang="en-AU" sz="1400" b="0" i="1">
                        <a:latin typeface="Cambria Math"/>
                      </a:rPr>
                      <m:t> </m:t>
                    </m:r>
                    <m:r>
                      <a:rPr lang="en-AU" sz="1400" b="0" i="1">
                        <a:latin typeface="Cambria Math"/>
                      </a:rPr>
                      <m:t>𝑡𝑜</m:t>
                    </m:r>
                    <m:r>
                      <a:rPr lang="en-AU" sz="1400" b="0" i="1">
                        <a:latin typeface="Cambria Math"/>
                      </a:rPr>
                      <m:t> </m:t>
                    </m:r>
                    <m:r>
                      <a:rPr lang="en-AU" sz="1400" b="0" i="1">
                        <a:latin typeface="Cambria Math"/>
                      </a:rPr>
                      <m:t>𝐸𝑞𝑢𝑖𝑡𝑦</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𝑇𝑜𝑡𝑎𝑙</m:t>
                        </m:r>
                        <m:r>
                          <a:rPr lang="en-AU" sz="1400" b="0" i="1">
                            <a:latin typeface="Cambria Math"/>
                          </a:rPr>
                          <m:t> </m:t>
                        </m:r>
                        <m:r>
                          <a:rPr lang="en-AU" sz="1400" b="0" i="1">
                            <a:latin typeface="Cambria Math"/>
                          </a:rPr>
                          <m:t>𝐿𝑖𝑎𝑏𝑖𝑙𝑖𝑡𝑖𝑒𝑠</m:t>
                        </m:r>
                      </m:num>
                      <m:den>
                        <m:r>
                          <a:rPr lang="en-AU" sz="1400" b="0" i="1">
                            <a:latin typeface="Cambria Math"/>
                          </a:rPr>
                          <m:t>𝑇𝑜𝑡𝑎𝑙</m:t>
                        </m:r>
                        <m:r>
                          <a:rPr lang="en-AU" sz="1400" b="0" i="1">
                            <a:latin typeface="Cambria Math"/>
                          </a:rPr>
                          <m:t> </m:t>
                        </m:r>
                        <m:r>
                          <a:rPr lang="en-AU" sz="1400" b="0" i="1">
                            <a:latin typeface="Cambria Math"/>
                          </a:rPr>
                          <m:t>𝐸𝑞𝑢𝑖𝑡𝑦</m:t>
                        </m:r>
                      </m:den>
                    </m:f>
                  </m:oMath>
                </m:oMathPara>
              </a14:m>
              <a:endParaRPr lang="en-AU" sz="1400"/>
            </a:p>
          </xdr:txBody>
        </xdr:sp>
      </mc:Choice>
      <mc:Fallback xmlns="">
        <xdr:sp macro="" textlink="">
          <xdr:nvSpPr>
            <xdr:cNvPr id="14" name="TextBox 6"/>
            <xdr:cNvSpPr txBox="1"/>
          </xdr:nvSpPr>
          <xdr:spPr>
            <a:xfrm>
              <a:off x="7477041" y="8383349"/>
              <a:ext cx="5340146" cy="538161"/>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𝐷𝑒𝑏𝑡 𝑡𝑜 𝐸𝑞𝑢𝑖𝑡𝑦 𝑅𝑎𝑡𝑖𝑜=  (𝑇𝑜𝑡𝑎𝑙 𝐿𝑖𝑎𝑏𝑖𝑙𝑖𝑡𝑖𝑒𝑠)/(𝑇𝑜𝑡𝑎𝑙 𝐸𝑞𝑢𝑖𝑡𝑦)</a:t>
              </a:r>
              <a:endParaRPr lang="en-AU" sz="1400"/>
            </a:p>
          </xdr:txBody>
        </xdr:sp>
      </mc:Fallback>
    </mc:AlternateContent>
    <xdr:clientData/>
  </xdr:twoCellAnchor>
  <xdr:twoCellAnchor>
    <xdr:from>
      <xdr:col>8</xdr:col>
      <xdr:colOff>178025</xdr:colOff>
      <xdr:row>18</xdr:row>
      <xdr:rowOff>32368</xdr:rowOff>
    </xdr:from>
    <xdr:to>
      <xdr:col>16</xdr:col>
      <xdr:colOff>96507</xdr:colOff>
      <xdr:row>18</xdr:row>
      <xdr:rowOff>533787</xdr:rowOff>
    </xdr:to>
    <mc:AlternateContent xmlns:mc="http://schemas.openxmlformats.org/markup-compatibility/2006" xmlns:a14="http://schemas.microsoft.com/office/drawing/2010/main">
      <mc:Choice Requires="a14">
        <xdr:sp macro="" textlink="">
          <xdr:nvSpPr>
            <xdr:cNvPr id="15" name="TextBox 6">
              <a:extLst>
                <a:ext uri="{FF2B5EF4-FFF2-40B4-BE49-F238E27FC236}">
                  <a16:creationId xmlns:a16="http://schemas.microsoft.com/office/drawing/2014/main" id="{00000000-0008-0000-0C00-00000F000000}"/>
                </a:ext>
              </a:extLst>
            </xdr:cNvPr>
            <xdr:cNvSpPr txBox="1"/>
          </xdr:nvSpPr>
          <xdr:spPr>
            <a:xfrm>
              <a:off x="7477041" y="8965975"/>
              <a:ext cx="5348238"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𝐸𝑞𝑢𝑖𝑡𝑦</m:t>
                    </m:r>
                    <m:r>
                      <a:rPr lang="en-AU" sz="1400" b="0" i="1">
                        <a:latin typeface="Cambria Math"/>
                      </a:rPr>
                      <m:t> </m:t>
                    </m:r>
                    <m:r>
                      <a:rPr lang="en-AU" sz="1400" b="0" i="1">
                        <a:latin typeface="Cambria Math"/>
                      </a:rPr>
                      <m:t>𝑅𝑎𝑡𝑖𝑜</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𝑇𝑜𝑡𝑎𝑙</m:t>
                        </m:r>
                        <m:r>
                          <a:rPr lang="en-AU" sz="1400" b="0" i="1">
                            <a:latin typeface="Cambria Math"/>
                          </a:rPr>
                          <m:t> </m:t>
                        </m:r>
                        <m:r>
                          <a:rPr lang="en-AU" sz="1400" b="0" i="1">
                            <a:latin typeface="Cambria Math"/>
                          </a:rPr>
                          <m:t>𝐸𝑞𝑢𝑖𝑡𝑦</m:t>
                        </m:r>
                      </m:num>
                      <m:den>
                        <m:r>
                          <a:rPr lang="en-AU" sz="1400" b="0" i="1">
                            <a:latin typeface="Cambria Math"/>
                          </a:rPr>
                          <m:t>𝑇𝑜𝑡𝑎𝑙</m:t>
                        </m:r>
                        <m:r>
                          <a:rPr lang="en-AU" sz="1400" b="0" i="1">
                            <a:latin typeface="Cambria Math"/>
                          </a:rPr>
                          <m:t> </m:t>
                        </m:r>
                        <m:r>
                          <a:rPr lang="en-AU" sz="1400" b="0" i="1">
                            <a:latin typeface="Cambria Math"/>
                          </a:rPr>
                          <m:t>𝐴𝑠𝑠𝑒𝑡𝑠</m:t>
                        </m:r>
                      </m:den>
                    </m:f>
                  </m:oMath>
                </m:oMathPara>
              </a14:m>
              <a:endParaRPr lang="en-AU" sz="1400"/>
            </a:p>
          </xdr:txBody>
        </xdr:sp>
      </mc:Choice>
      <mc:Fallback xmlns="">
        <xdr:sp macro="" textlink="">
          <xdr:nvSpPr>
            <xdr:cNvPr id="15" name="TextBox 6"/>
            <xdr:cNvSpPr txBox="1"/>
          </xdr:nvSpPr>
          <xdr:spPr>
            <a:xfrm>
              <a:off x="7477041" y="8965975"/>
              <a:ext cx="5348238" cy="501419"/>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𝐸𝑞𝑢𝑖𝑡𝑦 𝑅𝑎𝑡𝑖𝑜=  (𝑇𝑜𝑡𝑎𝑙 𝐸𝑞𝑢𝑖𝑡𝑦)/(𝑇𝑜𝑡𝑎𝑙 𝐴𝑠𝑠𝑒𝑡𝑠)</a:t>
              </a:r>
              <a:endParaRPr lang="en-AU" sz="1400"/>
            </a:p>
          </xdr:txBody>
        </xdr:sp>
      </mc:Fallback>
    </mc:AlternateContent>
    <xdr:clientData/>
  </xdr:twoCellAnchor>
  <xdr:twoCellAnchor>
    <xdr:from>
      <xdr:col>8</xdr:col>
      <xdr:colOff>186116</xdr:colOff>
      <xdr:row>10</xdr:row>
      <xdr:rowOff>-1</xdr:rowOff>
    </xdr:from>
    <xdr:to>
      <xdr:col>16</xdr:col>
      <xdr:colOff>80921</xdr:colOff>
      <xdr:row>10</xdr:row>
      <xdr:rowOff>557450</xdr:rowOff>
    </xdr:to>
    <mc:AlternateContent xmlns:mc="http://schemas.openxmlformats.org/markup-compatibility/2006" xmlns:a14="http://schemas.microsoft.com/office/drawing/2010/main">
      <mc:Choice Requires="a14">
        <xdr:sp macro="" textlink="">
          <xdr:nvSpPr>
            <xdr:cNvPr id="17" name="TextBox 2">
              <a:extLst>
                <a:ext uri="{FF2B5EF4-FFF2-40B4-BE49-F238E27FC236}">
                  <a16:creationId xmlns:a16="http://schemas.microsoft.com/office/drawing/2014/main" id="{00000000-0008-0000-0C00-000011000000}"/>
                </a:ext>
              </a:extLst>
            </xdr:cNvPr>
            <xdr:cNvSpPr txBox="1"/>
          </xdr:nvSpPr>
          <xdr:spPr>
            <a:xfrm>
              <a:off x="9986470" y="6923185"/>
              <a:ext cx="6539265" cy="557451"/>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𝑊𝑜𝑟𝑘𝑖𝑛𝑔</m:t>
                    </m:r>
                    <m:r>
                      <a:rPr lang="en-AU" sz="1400" b="0" i="1">
                        <a:latin typeface="Cambria Math"/>
                      </a:rPr>
                      <m:t> </m:t>
                    </m:r>
                    <m:r>
                      <a:rPr lang="en-AU" sz="1400" b="0" i="1">
                        <a:latin typeface="Cambria Math"/>
                      </a:rPr>
                      <m:t>𝐶𝑎𝑝𝑖𝑡𝑎𝑙</m:t>
                    </m:r>
                    <m:r>
                      <a:rPr lang="en-AU" sz="1400" b="0" i="1">
                        <a:latin typeface="Cambria Math"/>
                      </a:rPr>
                      <m:t>=  </m:t>
                    </m:r>
                    <m:r>
                      <a:rPr lang="en-AU" sz="1400" b="0" i="1">
                        <a:latin typeface="Cambria Math"/>
                      </a:rPr>
                      <m:t>𝐶𝑢𝑟𝑟𝑒𝑛𝑡</m:t>
                    </m:r>
                    <m:r>
                      <a:rPr lang="en-AU" sz="1400" b="0" i="1">
                        <a:latin typeface="Cambria Math"/>
                      </a:rPr>
                      <m:t> </m:t>
                    </m:r>
                    <m:r>
                      <a:rPr lang="en-AU" sz="1400" b="0" i="1">
                        <a:latin typeface="Cambria Math"/>
                      </a:rPr>
                      <m:t>𝐴𝑠𝑠𝑒𝑡𝑠</m:t>
                    </m:r>
                    <m:r>
                      <a:rPr lang="en-AU" sz="1400" b="0" i="1">
                        <a:latin typeface="Cambria Math"/>
                      </a:rPr>
                      <m:t> −</m:t>
                    </m:r>
                    <m:r>
                      <a:rPr lang="en-AU" sz="1400" b="0" i="1">
                        <a:latin typeface="Cambria Math"/>
                      </a:rPr>
                      <m:t>𝐶𝑢𝑟𝑟𝑒𝑛𝑡</m:t>
                    </m:r>
                    <m:r>
                      <a:rPr lang="en-AU" sz="1400" b="0" i="1">
                        <a:latin typeface="Cambria Math"/>
                      </a:rPr>
                      <m:t> </m:t>
                    </m:r>
                    <m:r>
                      <a:rPr lang="en-AU" sz="1400" b="0" i="1">
                        <a:latin typeface="Cambria Math"/>
                      </a:rPr>
                      <m:t>𝐿𝑖𝑎𝑏𝑖𝑙𝑖𝑡𝑖𝑒𝑠</m:t>
                    </m:r>
                  </m:oMath>
                </m:oMathPara>
              </a14:m>
              <a:endParaRPr lang="en-AU" sz="1400"/>
            </a:p>
          </xdr:txBody>
        </xdr:sp>
      </mc:Choice>
      <mc:Fallback xmlns="">
        <xdr:sp macro="" textlink="">
          <xdr:nvSpPr>
            <xdr:cNvPr id="17" name="TextBox 2">
              <a:extLst>
                <a:ext uri="{FF2B5EF4-FFF2-40B4-BE49-F238E27FC236}">
                  <a16:creationId xmlns:a16="http://schemas.microsoft.com/office/drawing/2014/main" xmlns:a14="http://schemas.microsoft.com/office/drawing/2010/main" xmlns="" id="{00000000-0008-0000-0C00-000011000000}"/>
                </a:ext>
              </a:extLst>
            </xdr:cNvPr>
            <xdr:cNvSpPr txBox="1"/>
          </xdr:nvSpPr>
          <xdr:spPr>
            <a:xfrm>
              <a:off x="9986470" y="6923185"/>
              <a:ext cx="6539265" cy="557451"/>
            </a:xfrm>
            <a:prstGeom prst="rect">
              <a:avLst/>
            </a:prstGeom>
            <a:noFill/>
            <a:ln w="28575">
              <a:solidFill>
                <a:schemeClr val="accent3">
                  <a:lumMod val="60000"/>
                  <a:lumOff val="40000"/>
                </a:schemeClr>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𝑊𝑜𝑟𝑘𝑖𝑛𝑔 𝐶𝑎𝑝𝑖𝑡𝑎𝑙=  𝐶𝑢𝑟𝑟𝑒𝑛𝑡 𝐴𝑠𝑠𝑒𝑡𝑠 −𝐶𝑢𝑟𝑟𝑒𝑛𝑡 𝐿𝑖𝑎𝑏𝑖𝑙𝑖𝑡𝑖𝑒𝑠</a:t>
              </a:r>
              <a:endParaRPr lang="en-AU" sz="1400"/>
            </a:p>
          </xdr:txBody>
        </xdr:sp>
      </mc:Fallback>
    </mc:AlternateContent>
    <xdr:clientData/>
  </xdr:twoCellAnchor>
  <xdr:twoCellAnchor>
    <xdr:from>
      <xdr:col>8</xdr:col>
      <xdr:colOff>168132</xdr:colOff>
      <xdr:row>19</xdr:row>
      <xdr:rowOff>25175</xdr:rowOff>
    </xdr:from>
    <xdr:to>
      <xdr:col>16</xdr:col>
      <xdr:colOff>107894</xdr:colOff>
      <xdr:row>19</xdr:row>
      <xdr:rowOff>565259</xdr:rowOff>
    </xdr:to>
    <mc:AlternateContent xmlns:mc="http://schemas.openxmlformats.org/markup-compatibility/2006" xmlns:a14="http://schemas.microsoft.com/office/drawing/2010/main">
      <mc:Choice Requires="a14">
        <xdr:sp macro="" textlink="">
          <xdr:nvSpPr>
            <xdr:cNvPr id="18" name="TextBox 2">
              <a:extLst>
                <a:ext uri="{FF2B5EF4-FFF2-40B4-BE49-F238E27FC236}">
                  <a16:creationId xmlns:a16="http://schemas.microsoft.com/office/drawing/2014/main" id="{00000000-0008-0000-0C00-000012000000}"/>
                </a:ext>
              </a:extLst>
            </xdr:cNvPr>
            <xdr:cNvSpPr txBox="1"/>
          </xdr:nvSpPr>
          <xdr:spPr>
            <a:xfrm>
              <a:off x="9968486" y="13538874"/>
              <a:ext cx="6584222" cy="540084"/>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AU" sz="1400" b="0" i="1">
                        <a:latin typeface="Cambria Math"/>
                      </a:rPr>
                      <m:t>𝐷𝑒𝑔𝑟𝑒𝑒</m:t>
                    </m:r>
                    <m:r>
                      <a:rPr lang="en-AU" sz="1400" b="0" i="1">
                        <a:latin typeface="Cambria Math"/>
                      </a:rPr>
                      <m:t> </m:t>
                    </m:r>
                    <m:r>
                      <a:rPr lang="en-AU" sz="1400" b="0" i="1">
                        <a:latin typeface="Cambria Math"/>
                      </a:rPr>
                      <m:t>𝑜𝑓</m:t>
                    </m:r>
                    <m:r>
                      <a:rPr lang="en-AU" sz="1400" b="0" i="1">
                        <a:latin typeface="Cambria Math"/>
                      </a:rPr>
                      <m:t> </m:t>
                    </m:r>
                    <m:r>
                      <a:rPr lang="en-AU" sz="1400" b="0" i="1">
                        <a:latin typeface="Cambria Math"/>
                      </a:rPr>
                      <m:t>𝐹𝑖𝑛𝑎𝑛𝑐𝑖𝑎𝑙</m:t>
                    </m:r>
                    <m:r>
                      <a:rPr lang="en-AU" sz="1400" b="0" i="1">
                        <a:latin typeface="Cambria Math"/>
                      </a:rPr>
                      <m:t> </m:t>
                    </m:r>
                    <m:r>
                      <a:rPr lang="en-AU" sz="1400" b="0" i="1">
                        <a:latin typeface="Cambria Math"/>
                      </a:rPr>
                      <m:t>𝐿𝑒𝑣𝑒𝑟𝑎𝑔𝑒</m:t>
                    </m:r>
                    <m:r>
                      <a:rPr lang="en-AU" sz="1400" b="0" i="1">
                        <a:latin typeface="Cambria Math"/>
                      </a:rPr>
                      <m:t>= </m:t>
                    </m:r>
                    <m:f>
                      <m:fPr>
                        <m:ctrlPr>
                          <a:rPr lang="en-AU" sz="1400" b="0" i="1">
                            <a:latin typeface="Cambria Math" panose="02040503050406030204" pitchFamily="18" charset="0"/>
                          </a:rPr>
                        </m:ctrlPr>
                      </m:fPr>
                      <m:num>
                        <m:r>
                          <a:rPr lang="en-AU" sz="1400" b="0" i="1">
                            <a:latin typeface="Cambria Math"/>
                          </a:rPr>
                          <m:t>𝑁𝑒𝑡</m:t>
                        </m:r>
                        <m:r>
                          <a:rPr lang="en-AU" sz="1400" b="0" i="1">
                            <a:latin typeface="Cambria Math"/>
                          </a:rPr>
                          <m:t> </m:t>
                        </m:r>
                        <m:r>
                          <a:rPr lang="en-AU" sz="1400" b="0" i="1">
                            <a:latin typeface="Cambria Math"/>
                          </a:rPr>
                          <m:t>𝑃𝑟𝑜𝑓𝑖𝑡</m:t>
                        </m:r>
                      </m:num>
                      <m:den>
                        <m:r>
                          <a:rPr lang="en-AU" sz="1400" b="0" i="1">
                            <a:latin typeface="Cambria Math"/>
                          </a:rPr>
                          <m:t>(</m:t>
                        </m:r>
                        <m:r>
                          <a:rPr lang="en-AU" sz="1400" b="0" i="1">
                            <a:latin typeface="Cambria Math"/>
                          </a:rPr>
                          <m:t>𝑁𝑒𝑡</m:t>
                        </m:r>
                        <m:r>
                          <a:rPr lang="en-AU" sz="1400" b="0" i="1">
                            <a:latin typeface="Cambria Math"/>
                          </a:rPr>
                          <m:t> </m:t>
                        </m:r>
                        <m:r>
                          <a:rPr lang="en-AU" sz="1400" b="0" i="1">
                            <a:latin typeface="Cambria Math"/>
                          </a:rPr>
                          <m:t>𝑃𝑟𝑜𝑓𝑖𝑡</m:t>
                        </m:r>
                        <m:r>
                          <a:rPr lang="en-AU" sz="1400" b="0" i="1">
                            <a:latin typeface="Cambria Math"/>
                          </a:rPr>
                          <m:t> −</m:t>
                        </m:r>
                        <m:r>
                          <a:rPr lang="en-AU" sz="1400" b="0" i="1">
                            <a:latin typeface="Cambria Math"/>
                          </a:rPr>
                          <m:t>𝐼𝑛𝑡𝑒𝑟𝑒𝑠𝑡</m:t>
                        </m:r>
                        <m:r>
                          <a:rPr lang="en-AU" sz="1400" b="0" i="1">
                            <a:latin typeface="Cambria Math"/>
                          </a:rPr>
                          <m:t> </m:t>
                        </m:r>
                        <m:r>
                          <a:rPr lang="en-AU" sz="1400" b="0" i="1">
                            <a:latin typeface="Cambria Math"/>
                          </a:rPr>
                          <m:t>𝐸𝑥𝑝𝑒𝑛𝑠𝑒</m:t>
                        </m:r>
                        <m:r>
                          <a:rPr lang="en-AU" sz="1400" b="0" i="1">
                            <a:latin typeface="Cambria Math"/>
                          </a:rPr>
                          <m:t>)</m:t>
                        </m:r>
                      </m:den>
                    </m:f>
                  </m:oMath>
                </m:oMathPara>
              </a14:m>
              <a:endParaRPr lang="en-AU" sz="1400"/>
            </a:p>
          </xdr:txBody>
        </xdr:sp>
      </mc:Choice>
      <mc:Fallback xmlns="">
        <xdr:sp macro="" textlink="">
          <xdr:nvSpPr>
            <xdr:cNvPr id="18" name="TextBox 2">
              <a:extLst>
                <a:ext uri="{FF2B5EF4-FFF2-40B4-BE49-F238E27FC236}">
                  <a16:creationId xmlns:a16="http://schemas.microsoft.com/office/drawing/2014/main" xmlns:a14="http://schemas.microsoft.com/office/drawing/2010/main" xmlns="" id="{00000000-0008-0000-1600-000010000000}"/>
                </a:ext>
              </a:extLst>
            </xdr:cNvPr>
            <xdr:cNvSpPr txBox="1"/>
          </xdr:nvSpPr>
          <xdr:spPr>
            <a:xfrm>
              <a:off x="9968486" y="13538874"/>
              <a:ext cx="6584222" cy="540084"/>
            </a:xfrm>
            <a:prstGeom prst="rect">
              <a:avLst/>
            </a:prstGeom>
            <a:noFill/>
            <a:ln w="28575">
              <a:solidFill>
                <a:schemeClr val="accent3">
                  <a:lumMod val="60000"/>
                  <a:lumOff val="40000"/>
                </a:schemeClr>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r>
                <a:rPr lang="en-AU" sz="1400" b="0" i="0">
                  <a:latin typeface="Cambria Math"/>
                </a:rPr>
                <a:t>𝐷𝑒𝑔𝑟𝑒𝑒 𝑜𝑓 𝐹𝑖𝑛𝑎𝑛𝑐𝑖𝑎𝑙 𝐿𝑒𝑣𝑒𝑟𝑎𝑔𝑒=  (𝑁𝑒𝑡 𝑃𝑟𝑜𝑓𝑖𝑡)/((𝑁𝑒𝑡 𝑃𝑟𝑜𝑓𝑖𝑡 −𝐼𝑛𝑡𝑒𝑟𝑒𝑠𝑡 𝐸𝑥𝑝𝑒𝑛𝑠𝑒))</a:t>
              </a:r>
              <a:endParaRPr lang="en-AU" sz="1400"/>
            </a:p>
          </xdr:txBody>
        </xdr:sp>
      </mc:Fallback>
    </mc:AlternateContent>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12700</xdr:colOff>
          <xdr:row>1</xdr:row>
          <xdr:rowOff>12700</xdr:rowOff>
        </xdr:from>
        <xdr:to>
          <xdr:col>3</xdr:col>
          <xdr:colOff>927100</xdr:colOff>
          <xdr:row>1</xdr:row>
          <xdr:rowOff>228600</xdr:rowOff>
        </xdr:to>
        <xdr:sp macro="" textlink="">
          <xdr:nvSpPr>
            <xdr:cNvPr id="25603" name="Drop Down 3" hidden="1">
              <a:extLst>
                <a:ext uri="{63B3BB69-23CF-44E3-9099-C40C66FF867C}">
                  <a14:compatExt spid="_x0000_s25603"/>
                </a:ext>
                <a:ext uri="{FF2B5EF4-FFF2-40B4-BE49-F238E27FC236}">
                  <a16:creationId xmlns:a16="http://schemas.microsoft.com/office/drawing/2014/main" id="{00000000-0008-0000-0100-000003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3</xdr:row>
          <xdr:rowOff>12700</xdr:rowOff>
        </xdr:from>
        <xdr:to>
          <xdr:col>3</xdr:col>
          <xdr:colOff>1358900</xdr:colOff>
          <xdr:row>4</xdr:row>
          <xdr:rowOff>0</xdr:rowOff>
        </xdr:to>
        <xdr:sp macro="" textlink="">
          <xdr:nvSpPr>
            <xdr:cNvPr id="25606" name="Drop Down 6" hidden="1">
              <a:extLst>
                <a:ext uri="{63B3BB69-23CF-44E3-9099-C40C66FF867C}">
                  <a14:compatExt spid="_x0000_s25606"/>
                </a:ext>
                <a:ext uri="{FF2B5EF4-FFF2-40B4-BE49-F238E27FC236}">
                  <a16:creationId xmlns:a16="http://schemas.microsoft.com/office/drawing/2014/main" id="{00000000-0008-0000-0100-000006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8</xdr:row>
          <xdr:rowOff>50800</xdr:rowOff>
        </xdr:from>
        <xdr:to>
          <xdr:col>3</xdr:col>
          <xdr:colOff>1346200</xdr:colOff>
          <xdr:row>12</xdr:row>
          <xdr:rowOff>0</xdr:rowOff>
        </xdr:to>
        <xdr:sp macro="" textlink="">
          <xdr:nvSpPr>
            <xdr:cNvPr id="25607" name="Group Box 7" hidden="1">
              <a:extLst>
                <a:ext uri="{63B3BB69-23CF-44E3-9099-C40C66FF867C}">
                  <a14:compatExt spid="_x0000_s25607"/>
                </a:ext>
                <a:ext uri="{FF2B5EF4-FFF2-40B4-BE49-F238E27FC236}">
                  <a16:creationId xmlns:a16="http://schemas.microsoft.com/office/drawing/2014/main" id="{00000000-0008-0000-0100-00000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8</xdr:row>
          <xdr:rowOff>139700</xdr:rowOff>
        </xdr:from>
        <xdr:to>
          <xdr:col>3</xdr:col>
          <xdr:colOff>889000</xdr:colOff>
          <xdr:row>9</xdr:row>
          <xdr:rowOff>127000</xdr:rowOff>
        </xdr:to>
        <xdr:sp macro="" textlink="">
          <xdr:nvSpPr>
            <xdr:cNvPr id="25608" name="Option Button 8" hidden="1">
              <a:extLst>
                <a:ext uri="{63B3BB69-23CF-44E3-9099-C40C66FF867C}">
                  <a14:compatExt spid="_x0000_s25608"/>
                </a:ext>
                <a:ext uri="{FF2B5EF4-FFF2-40B4-BE49-F238E27FC236}">
                  <a16:creationId xmlns:a16="http://schemas.microsoft.com/office/drawing/2014/main" id="{00000000-0008-0000-0100-000008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Yes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9</xdr:row>
          <xdr:rowOff>139700</xdr:rowOff>
        </xdr:from>
        <xdr:to>
          <xdr:col>3</xdr:col>
          <xdr:colOff>889000</xdr:colOff>
          <xdr:row>10</xdr:row>
          <xdr:rowOff>127000</xdr:rowOff>
        </xdr:to>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0100-000009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15</xdr:row>
          <xdr:rowOff>12700</xdr:rowOff>
        </xdr:from>
        <xdr:to>
          <xdr:col>4</xdr:col>
          <xdr:colOff>1778000</xdr:colOff>
          <xdr:row>15</xdr:row>
          <xdr:rowOff>228600</xdr:rowOff>
        </xdr:to>
        <xdr:sp macro="" textlink="">
          <xdr:nvSpPr>
            <xdr:cNvPr id="25610" name="Drop Down 10" hidden="1">
              <a:extLst>
                <a:ext uri="{63B3BB69-23CF-44E3-9099-C40C66FF867C}">
                  <a14:compatExt spid="_x0000_s25610"/>
                </a:ext>
                <a:ext uri="{FF2B5EF4-FFF2-40B4-BE49-F238E27FC236}">
                  <a16:creationId xmlns:a16="http://schemas.microsoft.com/office/drawing/2014/main" id="{00000000-0008-0000-0100-00000A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7358</xdr:colOff>
      <xdr:row>0</xdr:row>
      <xdr:rowOff>88276</xdr:rowOff>
    </xdr:from>
    <xdr:to>
      <xdr:col>4</xdr:col>
      <xdr:colOff>4062204</xdr:colOff>
      <xdr:row>0</xdr:row>
      <xdr:rowOff>522467</xdr:rowOff>
    </xdr:to>
    <xdr:pic>
      <xdr:nvPicPr>
        <xdr:cNvPr id="10" name="Picture 9" descr="C:\Users\mwyeoh\Dropbox\..VisualFrontier Projects\Images\Curtin\CurtinHeader.png">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8" y="88276"/>
          <a:ext cx="9144000" cy="434191"/>
        </a:xfrm>
        <a:prstGeom prst="rect">
          <a:avLst/>
        </a:prstGeom>
        <a:noFill/>
        <a:ln>
          <a:noFill/>
        </a:ln>
      </xdr:spPr>
    </xdr:pic>
    <xdr:clientData/>
  </xdr:twoCellAnchor>
  <xdr:twoCellAnchor editAs="oneCell">
    <xdr:from>
      <xdr:col>4</xdr:col>
      <xdr:colOff>1708890</xdr:colOff>
      <xdr:row>2</xdr:row>
      <xdr:rowOff>125793</xdr:rowOff>
    </xdr:from>
    <xdr:to>
      <xdr:col>4</xdr:col>
      <xdr:colOff>4846243</xdr:colOff>
      <xdr:row>11</xdr:row>
      <xdr:rowOff>89012</xdr:rowOff>
    </xdr:to>
    <xdr:pic>
      <xdr:nvPicPr>
        <xdr:cNvPr id="13" name="Picture 12" descr="Silhouette of confident businesspeople Free Photo">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16748" y="926905"/>
          <a:ext cx="3137353" cy="2107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190500</xdr:colOff>
          <xdr:row>10</xdr:row>
          <xdr:rowOff>127000</xdr:rowOff>
        </xdr:from>
        <xdr:to>
          <xdr:col>3</xdr:col>
          <xdr:colOff>889000</xdr:colOff>
          <xdr:row>11</xdr:row>
          <xdr:rowOff>114300</xdr:rowOff>
        </xdr:to>
        <xdr:sp macro="" textlink="">
          <xdr:nvSpPr>
            <xdr:cNvPr id="25611" name="Option Button 11" hidden="1">
              <a:extLst>
                <a:ext uri="{63B3BB69-23CF-44E3-9099-C40C66FF867C}">
                  <a14:compatExt spid="_x0000_s25611"/>
                </a:ext>
                <a:ext uri="{FF2B5EF4-FFF2-40B4-BE49-F238E27FC236}">
                  <a16:creationId xmlns:a16="http://schemas.microsoft.com/office/drawing/2014/main" id="{00000000-0008-0000-0100-00000B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Rather not say </a:t>
              </a:r>
            </a:p>
          </xdr:txBody>
        </xdr:sp>
        <xdr:clientData fLocksWithSheet="0"/>
      </xdr:twoCellAnchor>
    </mc:Choice>
    <mc:Fallback/>
  </mc:AlternateContent>
  <xdr:oneCellAnchor>
    <xdr:from>
      <xdr:col>2</xdr:col>
      <xdr:colOff>111489</xdr:colOff>
      <xdr:row>0</xdr:row>
      <xdr:rowOff>0</xdr:rowOff>
    </xdr:from>
    <xdr:ext cx="2889444" cy="593304"/>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1843185" y="0"/>
          <a:ext cx="2889444" cy="593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AU" sz="2800" b="1"/>
            <a:t>STUDENT</a:t>
          </a:r>
          <a:r>
            <a:rPr lang="en-AU" sz="3200" b="1"/>
            <a:t> </a:t>
          </a:r>
          <a:r>
            <a:rPr lang="en-AU" sz="2800" b="1"/>
            <a:t>DETAILS</a:t>
          </a:r>
          <a:endParaRPr lang="en-AU" sz="3200" b="1"/>
        </a:p>
      </xdr:txBody>
    </xdr:sp>
    <xdr:clientData/>
  </xdr:oneCellAnchor>
  <xdr:twoCellAnchor editAs="oneCell">
    <xdr:from>
      <xdr:col>4</xdr:col>
      <xdr:colOff>1893537</xdr:colOff>
      <xdr:row>1</xdr:row>
      <xdr:rowOff>12508</xdr:rowOff>
    </xdr:from>
    <xdr:to>
      <xdr:col>4</xdr:col>
      <xdr:colOff>4071536</xdr:colOff>
      <xdr:row>1</xdr:row>
      <xdr:rowOff>229604</xdr:rowOff>
    </xdr:to>
    <xdr:pic>
      <xdr:nvPicPr>
        <xdr:cNvPr id="17" name="Picture 16" descr="C:\Users\mwyeoh\Dropbox\..VisualFrontier Projects\Images\Curtin\curtinbusiness.png">
          <a:extLst>
            <a:ext uri="{FF2B5EF4-FFF2-40B4-BE49-F238E27FC236}">
              <a16:creationId xmlns:a16="http://schemas.microsoft.com/office/drawing/2014/main" id="{00000000-0008-0000-0100-000011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3427" y="578950"/>
          <a:ext cx="2177999" cy="217096"/>
        </a:xfrm>
        <a:prstGeom prst="rect">
          <a:avLst/>
        </a:prstGeom>
        <a:noFill/>
        <a:ln>
          <a:noFill/>
        </a:ln>
      </xdr:spPr>
    </xdr:pic>
    <xdr:clientData/>
  </xdr:twoCellAnchor>
  <xdr:twoCellAnchor>
    <xdr:from>
      <xdr:col>4</xdr:col>
      <xdr:colOff>2040669</xdr:colOff>
      <xdr:row>0</xdr:row>
      <xdr:rowOff>542167</xdr:rowOff>
    </xdr:from>
    <xdr:to>
      <xdr:col>4</xdr:col>
      <xdr:colOff>4286212</xdr:colOff>
      <xdr:row>2</xdr:row>
      <xdr:rowOff>21260</xdr:rowOff>
    </xdr:to>
    <xdr:sp macro="" textlink="">
      <xdr:nvSpPr>
        <xdr:cNvPr id="18" name="TextBox 6">
          <a:extLst>
            <a:ext uri="{FF2B5EF4-FFF2-40B4-BE49-F238E27FC236}">
              <a16:creationId xmlns:a16="http://schemas.microsoft.com/office/drawing/2014/main" id="{00000000-0008-0000-0100-000012000000}"/>
            </a:ext>
          </a:extLst>
        </xdr:cNvPr>
        <xdr:cNvSpPr txBox="1"/>
      </xdr:nvSpPr>
      <xdr:spPr>
        <a:xfrm>
          <a:off x="7130559" y="542167"/>
          <a:ext cx="2245543"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609600</xdr:colOff>
          <xdr:row>3</xdr:row>
          <xdr:rowOff>139700</xdr:rowOff>
        </xdr:from>
        <xdr:to>
          <xdr:col>5</xdr:col>
          <xdr:colOff>927100</xdr:colOff>
          <xdr:row>7</xdr:row>
          <xdr:rowOff>50800</xdr:rowOff>
        </xdr:to>
        <xdr:sp macro="" textlink="">
          <xdr:nvSpPr>
            <xdr:cNvPr id="8198" name="Group Box 6" descr="First Product" hidden="1">
              <a:extLst>
                <a:ext uri="{63B3BB69-23CF-44E3-9099-C40C66FF867C}">
                  <a14:compatExt spid="_x0000_s8198"/>
                </a:ext>
                <a:ext uri="{FF2B5EF4-FFF2-40B4-BE49-F238E27FC236}">
                  <a16:creationId xmlns:a16="http://schemas.microsoft.com/office/drawing/2014/main" id="{00000000-0008-0000-0200-000006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xdr:row>
          <xdr:rowOff>165100</xdr:rowOff>
        </xdr:from>
        <xdr:to>
          <xdr:col>5</xdr:col>
          <xdr:colOff>901700</xdr:colOff>
          <xdr:row>5</xdr:row>
          <xdr:rowOff>12700</xdr:rowOff>
        </xdr:to>
        <xdr:sp macro="" textlink="">
          <xdr:nvSpPr>
            <xdr:cNvPr id="8200" name="Option Button 8" hidden="1">
              <a:extLst>
                <a:ext uri="{63B3BB69-23CF-44E3-9099-C40C66FF867C}">
                  <a14:compatExt spid="_x0000_s8200"/>
                </a:ext>
                <a:ext uri="{FF2B5EF4-FFF2-40B4-BE49-F238E27FC236}">
                  <a16:creationId xmlns:a16="http://schemas.microsoft.com/office/drawing/2014/main" id="{00000000-0008-0000-02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Burgers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4</xdr:row>
          <xdr:rowOff>165100</xdr:rowOff>
        </xdr:from>
        <xdr:to>
          <xdr:col>5</xdr:col>
          <xdr:colOff>901700</xdr:colOff>
          <xdr:row>6</xdr:row>
          <xdr:rowOff>12700</xdr:rowOff>
        </xdr:to>
        <xdr:sp macro="" textlink="">
          <xdr:nvSpPr>
            <xdr:cNvPr id="8203" name="Option Button 11" hidden="1">
              <a:extLst>
                <a:ext uri="{63B3BB69-23CF-44E3-9099-C40C66FF867C}">
                  <a14:compatExt spid="_x0000_s8203"/>
                </a:ext>
                <a:ext uri="{FF2B5EF4-FFF2-40B4-BE49-F238E27FC236}">
                  <a16:creationId xmlns:a16="http://schemas.microsoft.com/office/drawing/2014/main" id="{00000000-0008-0000-02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Kebabs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5</xdr:row>
          <xdr:rowOff>165100</xdr:rowOff>
        </xdr:from>
        <xdr:to>
          <xdr:col>5</xdr:col>
          <xdr:colOff>901700</xdr:colOff>
          <xdr:row>7</xdr:row>
          <xdr:rowOff>12700</xdr:rowOff>
        </xdr:to>
        <xdr:sp macro="" textlink="">
          <xdr:nvSpPr>
            <xdr:cNvPr id="8204" name="Option Button 12" hidden="1">
              <a:extLst>
                <a:ext uri="{63B3BB69-23CF-44E3-9099-C40C66FF867C}">
                  <a14:compatExt spid="_x0000_s8204"/>
                </a:ext>
                <a:ext uri="{FF2B5EF4-FFF2-40B4-BE49-F238E27FC236}">
                  <a16:creationId xmlns:a16="http://schemas.microsoft.com/office/drawing/2014/main" id="{00000000-0008-0000-02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Pizza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596900</xdr:colOff>
          <xdr:row>7</xdr:row>
          <xdr:rowOff>152400</xdr:rowOff>
        </xdr:from>
        <xdr:to>
          <xdr:col>14</xdr:col>
          <xdr:colOff>241300</xdr:colOff>
          <xdr:row>16</xdr:row>
          <xdr:rowOff>127000</xdr:rowOff>
        </xdr:to>
        <xdr:sp macro="" textlink="">
          <xdr:nvSpPr>
            <xdr:cNvPr id="8207" name="Group Box 15" hidden="1">
              <a:extLst>
                <a:ext uri="{63B3BB69-23CF-44E3-9099-C40C66FF867C}">
                  <a14:compatExt spid="_x0000_s8207"/>
                </a:ext>
                <a:ext uri="{FF2B5EF4-FFF2-40B4-BE49-F238E27FC236}">
                  <a16:creationId xmlns:a16="http://schemas.microsoft.com/office/drawing/2014/main" id="{00000000-0008-0000-0200-00000F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7</xdr:row>
          <xdr:rowOff>165100</xdr:rowOff>
        </xdr:from>
        <xdr:to>
          <xdr:col>5</xdr:col>
          <xdr:colOff>1549400</xdr:colOff>
          <xdr:row>9</xdr:row>
          <xdr:rowOff>25400</xdr:rowOff>
        </xdr:to>
        <xdr:sp macro="" textlink="">
          <xdr:nvSpPr>
            <xdr:cNvPr id="8212" name="Option Button 20" hidden="1">
              <a:extLst>
                <a:ext uri="{63B3BB69-23CF-44E3-9099-C40C66FF867C}">
                  <a14:compatExt spid="_x0000_s8212"/>
                </a:ext>
                <a:ext uri="{FF2B5EF4-FFF2-40B4-BE49-F238E27FC236}">
                  <a16:creationId xmlns:a16="http://schemas.microsoft.com/office/drawing/2014/main" id="{00000000-0008-0000-0200-00001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Start a new Sole Trader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10</xdr:row>
          <xdr:rowOff>165100</xdr:rowOff>
        </xdr:from>
        <xdr:to>
          <xdr:col>5</xdr:col>
          <xdr:colOff>1841500</xdr:colOff>
          <xdr:row>12</xdr:row>
          <xdr:rowOff>25400</xdr:rowOff>
        </xdr:to>
        <xdr:sp macro="" textlink="">
          <xdr:nvSpPr>
            <xdr:cNvPr id="8214" name="Option Button 22" hidden="1">
              <a:extLst>
                <a:ext uri="{63B3BB69-23CF-44E3-9099-C40C66FF867C}">
                  <a14:compatExt spid="_x0000_s8214"/>
                </a:ext>
                <a:ext uri="{FF2B5EF4-FFF2-40B4-BE49-F238E27FC236}">
                  <a16:creationId xmlns:a16="http://schemas.microsoft.com/office/drawing/2014/main" id="{00000000-0008-0000-0200-00001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Buy an existing company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13</xdr:row>
          <xdr:rowOff>165100</xdr:rowOff>
        </xdr:from>
        <xdr:to>
          <xdr:col>5</xdr:col>
          <xdr:colOff>1968500</xdr:colOff>
          <xdr:row>15</xdr:row>
          <xdr:rowOff>25400</xdr:rowOff>
        </xdr:to>
        <xdr:sp macro="" textlink="">
          <xdr:nvSpPr>
            <xdr:cNvPr id="8217" name="Option Button 25" hidden="1">
              <a:extLst>
                <a:ext uri="{63B3BB69-23CF-44E3-9099-C40C66FF867C}">
                  <a14:compatExt spid="_x0000_s8217"/>
                </a:ext>
                <a:ext uri="{FF2B5EF4-FFF2-40B4-BE49-F238E27FC236}">
                  <a16:creationId xmlns:a16="http://schemas.microsoft.com/office/drawing/2014/main" id="{00000000-0008-0000-0200-00001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Go with an existing fast food franchise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596900</xdr:colOff>
          <xdr:row>18</xdr:row>
          <xdr:rowOff>127000</xdr:rowOff>
        </xdr:from>
        <xdr:to>
          <xdr:col>14</xdr:col>
          <xdr:colOff>241300</xdr:colOff>
          <xdr:row>27</xdr:row>
          <xdr:rowOff>127000</xdr:rowOff>
        </xdr:to>
        <xdr:sp macro="" textlink="">
          <xdr:nvSpPr>
            <xdr:cNvPr id="8218" name="Group Box 26" hidden="1">
              <a:extLst>
                <a:ext uri="{63B3BB69-23CF-44E3-9099-C40C66FF867C}">
                  <a14:compatExt spid="_x0000_s8218"/>
                </a:ext>
                <a:ext uri="{FF2B5EF4-FFF2-40B4-BE49-F238E27FC236}">
                  <a16:creationId xmlns:a16="http://schemas.microsoft.com/office/drawing/2014/main" id="{00000000-0008-0000-0200-00001A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18</xdr:row>
          <xdr:rowOff>165100</xdr:rowOff>
        </xdr:from>
        <xdr:to>
          <xdr:col>5</xdr:col>
          <xdr:colOff>965200</xdr:colOff>
          <xdr:row>20</xdr:row>
          <xdr:rowOff>12700</xdr:rowOff>
        </xdr:to>
        <xdr:sp macro="" textlink="">
          <xdr:nvSpPr>
            <xdr:cNvPr id="8219" name="Option Button 27" hidden="1">
              <a:extLst>
                <a:ext uri="{63B3BB69-23CF-44E3-9099-C40C66FF867C}">
                  <a14:compatExt spid="_x0000_s8219"/>
                </a:ext>
                <a:ext uri="{FF2B5EF4-FFF2-40B4-BE49-F238E27FC236}">
                  <a16:creationId xmlns:a16="http://schemas.microsoft.com/office/drawing/2014/main" id="{00000000-0008-0000-0200-00001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City CBD Area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21</xdr:row>
          <xdr:rowOff>165100</xdr:rowOff>
        </xdr:from>
        <xdr:to>
          <xdr:col>5</xdr:col>
          <xdr:colOff>1955800</xdr:colOff>
          <xdr:row>23</xdr:row>
          <xdr:rowOff>12700</xdr:rowOff>
        </xdr:to>
        <xdr:sp macro="" textlink="">
          <xdr:nvSpPr>
            <xdr:cNvPr id="8220" name="Option Button 28" hidden="1">
              <a:extLst>
                <a:ext uri="{63B3BB69-23CF-44E3-9099-C40C66FF867C}">
                  <a14:compatExt spid="_x0000_s8220"/>
                </a:ext>
                <a:ext uri="{FF2B5EF4-FFF2-40B4-BE49-F238E27FC236}">
                  <a16:creationId xmlns:a16="http://schemas.microsoft.com/office/drawing/2014/main" id="{00000000-0008-0000-0200-00001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Foodcourt in a large shopping centre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24</xdr:row>
          <xdr:rowOff>165100</xdr:rowOff>
        </xdr:from>
        <xdr:to>
          <xdr:col>5</xdr:col>
          <xdr:colOff>1955800</xdr:colOff>
          <xdr:row>26</xdr:row>
          <xdr:rowOff>12700</xdr:rowOff>
        </xdr:to>
        <xdr:sp macro="" textlink="">
          <xdr:nvSpPr>
            <xdr:cNvPr id="8221" name="Option Button 29" hidden="1">
              <a:extLst>
                <a:ext uri="{63B3BB69-23CF-44E3-9099-C40C66FF867C}">
                  <a14:compatExt spid="_x0000_s8221"/>
                </a:ext>
                <a:ext uri="{FF2B5EF4-FFF2-40B4-BE49-F238E27FC236}">
                  <a16:creationId xmlns:a16="http://schemas.microsoft.com/office/drawing/2014/main" id="{00000000-0008-0000-0200-00001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Suburban retail area</a:t>
              </a:r>
            </a:p>
          </xdr:txBody>
        </xdr:sp>
        <xdr:clientData/>
      </xdr:twoCellAnchor>
    </mc:Choice>
    <mc:Fallback/>
  </mc:AlternateContent>
  <xdr:twoCellAnchor editAs="oneCell">
    <xdr:from>
      <xdr:col>0</xdr:col>
      <xdr:colOff>191266</xdr:colOff>
      <xdr:row>20</xdr:row>
      <xdr:rowOff>102988</xdr:rowOff>
    </xdr:from>
    <xdr:to>
      <xdr:col>4</xdr:col>
      <xdr:colOff>245472</xdr:colOff>
      <xdr:row>26</xdr:row>
      <xdr:rowOff>117701</xdr:rowOff>
    </xdr:to>
    <xdr:pic>
      <xdr:nvPicPr>
        <xdr:cNvPr id="17" name="Picture 16" descr="Vector horizontal illustration with cafe. cartoon cozy interior with tables and chairs. bright furni Free Vector">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266" y="3692909"/>
          <a:ext cx="3684192" cy="1118172"/>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22069</xdr:colOff>
      <xdr:row>0</xdr:row>
      <xdr:rowOff>117702</xdr:rowOff>
    </xdr:from>
    <xdr:to>
      <xdr:col>9</xdr:col>
      <xdr:colOff>438310</xdr:colOff>
      <xdr:row>0</xdr:row>
      <xdr:rowOff>555703</xdr:rowOff>
    </xdr:to>
    <xdr:pic>
      <xdr:nvPicPr>
        <xdr:cNvPr id="21" name="Picture 20" descr="C:\Users\mwyeoh\Dropbox\..VisualFrontier Projects\Images\Curtin\CurtinHeader.png">
          <a:extLst>
            <a:ext uri="{FF2B5EF4-FFF2-40B4-BE49-F238E27FC236}">
              <a16:creationId xmlns:a16="http://schemas.microsoft.com/office/drawing/2014/main" id="{00000000-0008-0000-0200-00001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069" y="117702"/>
          <a:ext cx="9144736" cy="434191"/>
        </a:xfrm>
        <a:prstGeom prst="rect">
          <a:avLst/>
        </a:prstGeom>
        <a:noFill/>
        <a:ln>
          <a:noFill/>
        </a:ln>
      </xdr:spPr>
    </xdr:pic>
    <xdr:clientData/>
  </xdr:twoCellAnchor>
  <xdr:oneCellAnchor>
    <xdr:from>
      <xdr:col>3</xdr:col>
      <xdr:colOff>27347</xdr:colOff>
      <xdr:row>0</xdr:row>
      <xdr:rowOff>29426</xdr:rowOff>
    </xdr:from>
    <xdr:ext cx="2666371" cy="530658"/>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1969435" y="29426"/>
          <a:ext cx="2666371"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AU" sz="2800" b="1"/>
            <a:t>BUSINESS SETUP</a:t>
          </a:r>
        </a:p>
      </xdr:txBody>
    </xdr:sp>
    <xdr:clientData/>
  </xdr:oneCellAnchor>
  <xdr:twoCellAnchor editAs="oneCell">
    <xdr:from>
      <xdr:col>6</xdr:col>
      <xdr:colOff>205981</xdr:colOff>
      <xdr:row>0</xdr:row>
      <xdr:rowOff>603226</xdr:rowOff>
    </xdr:from>
    <xdr:to>
      <xdr:col>9</xdr:col>
      <xdr:colOff>438082</xdr:colOff>
      <xdr:row>1</xdr:row>
      <xdr:rowOff>40544</xdr:rowOff>
    </xdr:to>
    <xdr:pic>
      <xdr:nvPicPr>
        <xdr:cNvPr id="20" name="Picture 19" descr="C:\Users\mwyeoh\Dropbox\..VisualFrontier Projects\Images\Curtin\curtinbusiness.png">
          <a:extLst>
            <a:ext uri="{FF2B5EF4-FFF2-40B4-BE49-F238E27FC236}">
              <a16:creationId xmlns:a16="http://schemas.microsoft.com/office/drawing/2014/main" id="{00000000-0008-0000-0200-00001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88578" y="603226"/>
          <a:ext cx="2177999" cy="217096"/>
        </a:xfrm>
        <a:prstGeom prst="rect">
          <a:avLst/>
        </a:prstGeom>
        <a:noFill/>
        <a:ln>
          <a:noFill/>
        </a:ln>
      </xdr:spPr>
    </xdr:pic>
    <xdr:clientData/>
  </xdr:twoCellAnchor>
  <xdr:twoCellAnchor>
    <xdr:from>
      <xdr:col>6</xdr:col>
      <xdr:colOff>353113</xdr:colOff>
      <xdr:row>0</xdr:row>
      <xdr:rowOff>566443</xdr:rowOff>
    </xdr:from>
    <xdr:to>
      <xdr:col>10</xdr:col>
      <xdr:colOff>9205</xdr:colOff>
      <xdr:row>1</xdr:row>
      <xdr:rowOff>66870</xdr:rowOff>
    </xdr:to>
    <xdr:sp macro="" textlink="">
      <xdr:nvSpPr>
        <xdr:cNvPr id="25" name="TextBox 6">
          <a:extLst>
            <a:ext uri="{FF2B5EF4-FFF2-40B4-BE49-F238E27FC236}">
              <a16:creationId xmlns:a16="http://schemas.microsoft.com/office/drawing/2014/main" id="{00000000-0008-0000-0200-000019000000}"/>
            </a:ext>
          </a:extLst>
        </xdr:cNvPr>
        <xdr:cNvSpPr txBox="1"/>
      </xdr:nvSpPr>
      <xdr:spPr>
        <a:xfrm>
          <a:off x="7135710" y="566443"/>
          <a:ext cx="2245543"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twoCellAnchor editAs="oneCell">
    <xdr:from>
      <xdr:col>2</xdr:col>
      <xdr:colOff>59276</xdr:colOff>
      <xdr:row>9</xdr:row>
      <xdr:rowOff>37879</xdr:rowOff>
    </xdr:from>
    <xdr:to>
      <xdr:col>4</xdr:col>
      <xdr:colOff>50326</xdr:colOff>
      <xdr:row>18</xdr:row>
      <xdr:rowOff>113713</xdr:rowOff>
    </xdr:to>
    <xdr:pic>
      <xdr:nvPicPr>
        <xdr:cNvPr id="26" name="Picture 25" descr="Vector cartoon illustration of a traditional set of fast food meal Free Vector">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75545" y="2382494"/>
          <a:ext cx="2194549" cy="1724392"/>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342720</xdr:colOff>
      <xdr:row>16</xdr:row>
      <xdr:rowOff>222811</xdr:rowOff>
    </xdr:from>
    <xdr:to>
      <xdr:col>21</xdr:col>
      <xdr:colOff>284990</xdr:colOff>
      <xdr:row>26</xdr:row>
      <xdr:rowOff>57421</xdr:rowOff>
    </xdr:to>
    <xdr:pic>
      <xdr:nvPicPr>
        <xdr:cNvPr id="11" name="Picture 10" descr="Restaurant badge Free Vector">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35604" y="4988121"/>
          <a:ext cx="2527911" cy="251273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4</xdr:row>
          <xdr:rowOff>0</xdr:rowOff>
        </xdr:from>
        <xdr:to>
          <xdr:col>4</xdr:col>
          <xdr:colOff>558800</xdr:colOff>
          <xdr:row>4</xdr:row>
          <xdr:rowOff>177800</xdr:rowOff>
        </xdr:to>
        <xdr:sp macro="" textlink="">
          <xdr:nvSpPr>
            <xdr:cNvPr id="11265" name="Scroll Bar 1" hidden="1">
              <a:extLst>
                <a:ext uri="{63B3BB69-23CF-44E3-9099-C40C66FF867C}">
                  <a14:compatExt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9</xdr:row>
          <xdr:rowOff>0</xdr:rowOff>
        </xdr:from>
        <xdr:to>
          <xdr:col>4</xdr:col>
          <xdr:colOff>558800</xdr:colOff>
          <xdr:row>9</xdr:row>
          <xdr:rowOff>177800</xdr:rowOff>
        </xdr:to>
        <xdr:sp macro="" textlink="">
          <xdr:nvSpPr>
            <xdr:cNvPr id="11266" name="Scroll Bar 2" hidden="1">
              <a:extLst>
                <a:ext uri="{63B3BB69-23CF-44E3-9099-C40C66FF867C}">
                  <a14:compatExt spid="_x0000_s11266"/>
                </a:ext>
                <a:ext uri="{FF2B5EF4-FFF2-40B4-BE49-F238E27FC236}">
                  <a16:creationId xmlns:a16="http://schemas.microsoft.com/office/drawing/2014/main" id="{00000000-0008-0000-0300-00000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12700</xdr:rowOff>
        </xdr:from>
        <xdr:to>
          <xdr:col>4</xdr:col>
          <xdr:colOff>558800</xdr:colOff>
          <xdr:row>19</xdr:row>
          <xdr:rowOff>190500</xdr:rowOff>
        </xdr:to>
        <xdr:sp macro="" textlink="">
          <xdr:nvSpPr>
            <xdr:cNvPr id="11267" name="Scroll Bar 3" hidden="1">
              <a:extLst>
                <a:ext uri="{63B3BB69-23CF-44E3-9099-C40C66FF867C}">
                  <a14:compatExt spid="_x0000_s11267"/>
                </a:ext>
                <a:ext uri="{FF2B5EF4-FFF2-40B4-BE49-F238E27FC236}">
                  <a16:creationId xmlns:a16="http://schemas.microsoft.com/office/drawing/2014/main" id="{00000000-0008-0000-0300-000003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406400</xdr:colOff>
          <xdr:row>25</xdr:row>
          <xdr:rowOff>127000</xdr:rowOff>
        </xdr:from>
        <xdr:to>
          <xdr:col>16</xdr:col>
          <xdr:colOff>76200</xdr:colOff>
          <xdr:row>38</xdr:row>
          <xdr:rowOff>101600</xdr:rowOff>
        </xdr:to>
        <xdr:sp macro="" textlink="">
          <xdr:nvSpPr>
            <xdr:cNvPr id="11268" name="Group Box 4" hidden="1">
              <a:extLst>
                <a:ext uri="{63B3BB69-23CF-44E3-9099-C40C66FF867C}">
                  <a14:compatExt spid="_x0000_s11268"/>
                </a:ext>
                <a:ext uri="{FF2B5EF4-FFF2-40B4-BE49-F238E27FC236}">
                  <a16:creationId xmlns:a16="http://schemas.microsoft.com/office/drawing/2014/main" id="{00000000-0008-0000-0300-0000042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101600</xdr:colOff>
          <xdr:row>25</xdr:row>
          <xdr:rowOff>177800</xdr:rowOff>
        </xdr:from>
        <xdr:to>
          <xdr:col>5</xdr:col>
          <xdr:colOff>965200</xdr:colOff>
          <xdr:row>26</xdr:row>
          <xdr:rowOff>215900</xdr:rowOff>
        </xdr:to>
        <xdr:sp macro="" textlink="">
          <xdr:nvSpPr>
            <xdr:cNvPr id="11269" name="Option Button 5" hidden="1">
              <a:extLst>
                <a:ext uri="{63B3BB69-23CF-44E3-9099-C40C66FF867C}">
                  <a14:compatExt spid="_x0000_s11269"/>
                </a:ext>
                <a:ext uri="{FF2B5EF4-FFF2-40B4-BE49-F238E27FC236}">
                  <a16:creationId xmlns:a16="http://schemas.microsoft.com/office/drawing/2014/main" id="{00000000-0008-0000-0300-00000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Kitchens R Us Pty Ltd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88900</xdr:colOff>
          <xdr:row>25</xdr:row>
          <xdr:rowOff>177800</xdr:rowOff>
        </xdr:from>
        <xdr:to>
          <xdr:col>8</xdr:col>
          <xdr:colOff>1130300</xdr:colOff>
          <xdr:row>26</xdr:row>
          <xdr:rowOff>215900</xdr:rowOff>
        </xdr:to>
        <xdr:sp macro="" textlink="">
          <xdr:nvSpPr>
            <xdr:cNvPr id="11270" name="Option Button 6" hidden="1">
              <a:extLst>
                <a:ext uri="{63B3BB69-23CF-44E3-9099-C40C66FF867C}">
                  <a14:compatExt spid="_x0000_s11270"/>
                </a:ext>
                <a:ext uri="{FF2B5EF4-FFF2-40B4-BE49-F238E27FC236}">
                  <a16:creationId xmlns:a16="http://schemas.microsoft.com/office/drawing/2014/main" id="{00000000-0008-0000-0300-00000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Aussie Cooktops &amp; Catering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88900</xdr:colOff>
          <xdr:row>25</xdr:row>
          <xdr:rowOff>177800</xdr:rowOff>
        </xdr:from>
        <xdr:to>
          <xdr:col>11</xdr:col>
          <xdr:colOff>838200</xdr:colOff>
          <xdr:row>26</xdr:row>
          <xdr:rowOff>215900</xdr:rowOff>
        </xdr:to>
        <xdr:sp macro="" textlink="">
          <xdr:nvSpPr>
            <xdr:cNvPr id="11271" name="Option Button 7" hidden="1">
              <a:extLst>
                <a:ext uri="{63B3BB69-23CF-44E3-9099-C40C66FF867C}">
                  <a14:compatExt spid="_x0000_s11271"/>
                </a:ext>
                <a:ext uri="{FF2B5EF4-FFF2-40B4-BE49-F238E27FC236}">
                  <a16:creationId xmlns:a16="http://schemas.microsoft.com/office/drawing/2014/main" id="{00000000-0008-0000-0300-00000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Industrial Scale LLC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101600</xdr:colOff>
          <xdr:row>25</xdr:row>
          <xdr:rowOff>177800</xdr:rowOff>
        </xdr:from>
        <xdr:to>
          <xdr:col>16</xdr:col>
          <xdr:colOff>12700</xdr:colOff>
          <xdr:row>26</xdr:row>
          <xdr:rowOff>215900</xdr:rowOff>
        </xdr:to>
        <xdr:sp macro="" textlink="">
          <xdr:nvSpPr>
            <xdr:cNvPr id="11273" name="Option Button 9" hidden="1">
              <a:extLst>
                <a:ext uri="{63B3BB69-23CF-44E3-9099-C40C66FF867C}">
                  <a14:compatExt spid="_x0000_s11273"/>
                </a:ext>
                <a:ext uri="{FF2B5EF4-FFF2-40B4-BE49-F238E27FC236}">
                  <a16:creationId xmlns:a16="http://schemas.microsoft.com/office/drawing/2014/main" id="{00000000-0008-0000-03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Dapur Komersial Sdn Bhd</a:t>
              </a:r>
            </a:p>
          </xdr:txBody>
        </xdr:sp>
        <xdr:clientData/>
      </xdr:twoCellAnchor>
    </mc:Choice>
    <mc:Fallback/>
  </mc:AlternateContent>
  <xdr:twoCellAnchor editAs="oneCell">
    <xdr:from>
      <xdr:col>18</xdr:col>
      <xdr:colOff>437922</xdr:colOff>
      <xdr:row>27</xdr:row>
      <xdr:rowOff>113714</xdr:rowOff>
    </xdr:from>
    <xdr:to>
      <xdr:col>24</xdr:col>
      <xdr:colOff>436456</xdr:colOff>
      <xdr:row>38</xdr:row>
      <xdr:rowOff>308</xdr:rowOff>
    </xdr:to>
    <xdr:pic>
      <xdr:nvPicPr>
        <xdr:cNvPr id="10" name="Picture 9" descr="Kitchen in restaurant empty interior with supplies Free Vector">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78170" y="7801147"/>
          <a:ext cx="3886521" cy="1959699"/>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xdr:spPr>
    </xdr:pic>
    <xdr:clientData/>
  </xdr:twoCellAnchor>
  <xdr:twoCellAnchor>
    <xdr:from>
      <xdr:col>17</xdr:col>
      <xdr:colOff>174930</xdr:colOff>
      <xdr:row>2</xdr:row>
      <xdr:rowOff>133279</xdr:rowOff>
    </xdr:from>
    <xdr:to>
      <xdr:col>24</xdr:col>
      <xdr:colOff>102061</xdr:colOff>
      <xdr:row>15</xdr:row>
      <xdr:rowOff>123758</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212037</xdr:rowOff>
    </xdr:from>
    <xdr:to>
      <xdr:col>13</xdr:col>
      <xdr:colOff>7401</xdr:colOff>
      <xdr:row>0</xdr:row>
      <xdr:rowOff>646228</xdr:rowOff>
    </xdr:to>
    <xdr:pic>
      <xdr:nvPicPr>
        <xdr:cNvPr id="13" name="Picture 12" descr="C:\Users\mwyeoh\Dropbox\..VisualFrontier Projects\Images\Curtin\CurtinHeader.png">
          <a:extLst>
            <a:ext uri="{FF2B5EF4-FFF2-40B4-BE49-F238E27FC236}">
              <a16:creationId xmlns:a16="http://schemas.microsoft.com/office/drawing/2014/main" id="{00000000-0008-0000-0300-00000D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12037"/>
          <a:ext cx="9144736" cy="434191"/>
        </a:xfrm>
        <a:prstGeom prst="rect">
          <a:avLst/>
        </a:prstGeom>
        <a:noFill/>
        <a:ln>
          <a:noFill/>
        </a:ln>
      </xdr:spPr>
    </xdr:pic>
    <xdr:clientData/>
  </xdr:twoCellAnchor>
  <xdr:oneCellAnchor>
    <xdr:from>
      <xdr:col>2</xdr:col>
      <xdr:colOff>325822</xdr:colOff>
      <xdr:row>0</xdr:row>
      <xdr:rowOff>123761</xdr:rowOff>
    </xdr:from>
    <xdr:ext cx="3320011" cy="530658"/>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1620548" y="123761"/>
          <a:ext cx="3320011"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AU" sz="2800" b="1"/>
            <a:t>BUSINESS DECISIONS</a:t>
          </a:r>
        </a:p>
      </xdr:txBody>
    </xdr:sp>
    <xdr:clientData/>
  </xdr:oneCellAnchor>
  <xdr:twoCellAnchor editAs="oneCell">
    <xdr:from>
      <xdr:col>9</xdr:col>
      <xdr:colOff>66645</xdr:colOff>
      <xdr:row>0</xdr:row>
      <xdr:rowOff>712706</xdr:rowOff>
    </xdr:from>
    <xdr:to>
      <xdr:col>13</xdr:col>
      <xdr:colOff>20765</xdr:colOff>
      <xdr:row>0</xdr:row>
      <xdr:rowOff>933612</xdr:rowOff>
    </xdr:to>
    <xdr:pic>
      <xdr:nvPicPr>
        <xdr:cNvPr id="17" name="Picture 16" descr="C:\Users\mwyeoh\Dropbox\..VisualFrontier Projects\Images\Curtin\curtinbusiness.png">
          <a:extLst>
            <a:ext uri="{FF2B5EF4-FFF2-40B4-BE49-F238E27FC236}">
              <a16:creationId xmlns:a16="http://schemas.microsoft.com/office/drawing/2014/main" id="{00000000-0008-0000-0300-000011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978196" y="712706"/>
          <a:ext cx="2177999" cy="217096"/>
        </a:xfrm>
        <a:prstGeom prst="rect">
          <a:avLst/>
        </a:prstGeom>
        <a:noFill/>
        <a:ln>
          <a:noFill/>
        </a:ln>
      </xdr:spPr>
    </xdr:pic>
    <xdr:clientData/>
  </xdr:twoCellAnchor>
  <xdr:twoCellAnchor>
    <xdr:from>
      <xdr:col>9</xdr:col>
      <xdr:colOff>213775</xdr:colOff>
      <xdr:row>0</xdr:row>
      <xdr:rowOff>675923</xdr:rowOff>
    </xdr:from>
    <xdr:to>
      <xdr:col>13</xdr:col>
      <xdr:colOff>431549</xdr:colOff>
      <xdr:row>2</xdr:row>
      <xdr:rowOff>13643</xdr:rowOff>
    </xdr:to>
    <xdr:sp macro="" textlink="">
      <xdr:nvSpPr>
        <xdr:cNvPr id="18" name="TextBox 6">
          <a:extLst>
            <a:ext uri="{FF2B5EF4-FFF2-40B4-BE49-F238E27FC236}">
              <a16:creationId xmlns:a16="http://schemas.microsoft.com/office/drawing/2014/main" id="{00000000-0008-0000-0300-000012000000}"/>
            </a:ext>
          </a:extLst>
        </xdr:cNvPr>
        <xdr:cNvSpPr txBox="1"/>
      </xdr:nvSpPr>
      <xdr:spPr>
        <a:xfrm>
          <a:off x="7125326" y="675923"/>
          <a:ext cx="2445463" cy="61340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558800</xdr:colOff>
          <xdr:row>2</xdr:row>
          <xdr:rowOff>127000</xdr:rowOff>
        </xdr:from>
        <xdr:to>
          <xdr:col>10</xdr:col>
          <xdr:colOff>1612900</xdr:colOff>
          <xdr:row>10</xdr:row>
          <xdr:rowOff>152400</xdr:rowOff>
        </xdr:to>
        <xdr:sp macro="" textlink="">
          <xdr:nvSpPr>
            <xdr:cNvPr id="35841" name="Group Box 1" hidden="1">
              <a:extLst>
                <a:ext uri="{63B3BB69-23CF-44E3-9099-C40C66FF867C}">
                  <a14:compatExt spid="_x0000_s35841"/>
                </a:ext>
                <a:ext uri="{FF2B5EF4-FFF2-40B4-BE49-F238E27FC236}">
                  <a16:creationId xmlns:a16="http://schemas.microsoft.com/office/drawing/2014/main" id="{00000000-0008-0000-0400-000001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xdr:row>
          <xdr:rowOff>165100</xdr:rowOff>
        </xdr:from>
        <xdr:to>
          <xdr:col>2</xdr:col>
          <xdr:colOff>876300</xdr:colOff>
          <xdr:row>8</xdr:row>
          <xdr:rowOff>12700</xdr:rowOff>
        </xdr:to>
        <xdr:sp macro="" textlink="">
          <xdr:nvSpPr>
            <xdr:cNvPr id="35842" name="Option Button 2" hidden="1">
              <a:extLst>
                <a:ext uri="{63B3BB69-23CF-44E3-9099-C40C66FF867C}">
                  <a14:compatExt spid="_x0000_s35842"/>
                </a:ext>
                <a:ext uri="{FF2B5EF4-FFF2-40B4-BE49-F238E27FC236}">
                  <a16:creationId xmlns:a16="http://schemas.microsoft.com/office/drawing/2014/main" id="{00000000-0008-0000-0400-000002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Invest in a Cool Room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9</xdr:row>
          <xdr:rowOff>0</xdr:rowOff>
        </xdr:from>
        <xdr:to>
          <xdr:col>2</xdr:col>
          <xdr:colOff>876300</xdr:colOff>
          <xdr:row>10</xdr:row>
          <xdr:rowOff>25400</xdr:rowOff>
        </xdr:to>
        <xdr:sp macro="" textlink="">
          <xdr:nvSpPr>
            <xdr:cNvPr id="35843" name="Option Button 3" hidden="1">
              <a:extLst>
                <a:ext uri="{63B3BB69-23CF-44E3-9099-C40C66FF867C}">
                  <a14:compatExt spid="_x0000_s35843"/>
                </a:ext>
                <a:ext uri="{FF2B5EF4-FFF2-40B4-BE49-F238E27FC236}">
                  <a16:creationId xmlns:a16="http://schemas.microsoft.com/office/drawing/2014/main" id="{00000000-0008-0000-0400-000003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Don’t invest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558800</xdr:colOff>
          <xdr:row>11</xdr:row>
          <xdr:rowOff>127000</xdr:rowOff>
        </xdr:from>
        <xdr:to>
          <xdr:col>10</xdr:col>
          <xdr:colOff>1612900</xdr:colOff>
          <xdr:row>22</xdr:row>
          <xdr:rowOff>88900</xdr:rowOff>
        </xdr:to>
        <xdr:sp macro="" textlink="">
          <xdr:nvSpPr>
            <xdr:cNvPr id="35844" name="Group Box 4" hidden="1">
              <a:extLst>
                <a:ext uri="{63B3BB69-23CF-44E3-9099-C40C66FF867C}">
                  <a14:compatExt spid="_x0000_s35844"/>
                </a:ext>
                <a:ext uri="{FF2B5EF4-FFF2-40B4-BE49-F238E27FC236}">
                  <a16:creationId xmlns:a16="http://schemas.microsoft.com/office/drawing/2014/main" id="{00000000-0008-0000-0400-000004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165100</xdr:rowOff>
        </xdr:from>
        <xdr:to>
          <xdr:col>2</xdr:col>
          <xdr:colOff>825500</xdr:colOff>
          <xdr:row>17</xdr:row>
          <xdr:rowOff>12700</xdr:rowOff>
        </xdr:to>
        <xdr:sp macro="" textlink="">
          <xdr:nvSpPr>
            <xdr:cNvPr id="35845" name="Option Button 5" hidden="1">
              <a:extLst>
                <a:ext uri="{63B3BB69-23CF-44E3-9099-C40C66FF867C}">
                  <a14:compatExt spid="_x0000_s35845"/>
                </a:ext>
                <a:ext uri="{FF2B5EF4-FFF2-40B4-BE49-F238E27FC236}">
                  <a16:creationId xmlns:a16="http://schemas.microsoft.com/office/drawing/2014/main" id="{00000000-0008-0000-0400-000005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Small Display Cabinets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88900</xdr:rowOff>
        </xdr:from>
        <xdr:to>
          <xdr:col>2</xdr:col>
          <xdr:colOff>825500</xdr:colOff>
          <xdr:row>19</xdr:row>
          <xdr:rowOff>25400</xdr:rowOff>
        </xdr:to>
        <xdr:sp macro="" textlink="">
          <xdr:nvSpPr>
            <xdr:cNvPr id="35846" name="Option Button 6" hidden="1">
              <a:extLst>
                <a:ext uri="{63B3BB69-23CF-44E3-9099-C40C66FF867C}">
                  <a14:compatExt spid="_x0000_s35846"/>
                </a:ext>
                <a:ext uri="{FF2B5EF4-FFF2-40B4-BE49-F238E27FC236}">
                  <a16:creationId xmlns:a16="http://schemas.microsoft.com/office/drawing/2014/main" id="{00000000-0008-0000-0400-000006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Medium Display Cabinets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88900</xdr:rowOff>
        </xdr:from>
        <xdr:to>
          <xdr:col>2</xdr:col>
          <xdr:colOff>825500</xdr:colOff>
          <xdr:row>21</xdr:row>
          <xdr:rowOff>25400</xdr:rowOff>
        </xdr:to>
        <xdr:sp macro="" textlink="">
          <xdr:nvSpPr>
            <xdr:cNvPr id="35847" name="Option Button 7" hidden="1">
              <a:extLst>
                <a:ext uri="{63B3BB69-23CF-44E3-9099-C40C66FF867C}">
                  <a14:compatExt spid="_x0000_s35847"/>
                </a:ext>
                <a:ext uri="{FF2B5EF4-FFF2-40B4-BE49-F238E27FC236}">
                  <a16:creationId xmlns:a16="http://schemas.microsoft.com/office/drawing/2014/main" id="{00000000-0008-0000-0400-000007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Large Display Cabinets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558800</xdr:colOff>
          <xdr:row>23</xdr:row>
          <xdr:rowOff>101600</xdr:rowOff>
        </xdr:from>
        <xdr:to>
          <xdr:col>10</xdr:col>
          <xdr:colOff>1600200</xdr:colOff>
          <xdr:row>38</xdr:row>
          <xdr:rowOff>152400</xdr:rowOff>
        </xdr:to>
        <xdr:sp macro="" textlink="">
          <xdr:nvSpPr>
            <xdr:cNvPr id="35848" name="Group Box 8" hidden="1">
              <a:extLst>
                <a:ext uri="{63B3BB69-23CF-44E3-9099-C40C66FF867C}">
                  <a14:compatExt spid="_x0000_s35848"/>
                </a:ext>
                <a:ext uri="{FF2B5EF4-FFF2-40B4-BE49-F238E27FC236}">
                  <a16:creationId xmlns:a16="http://schemas.microsoft.com/office/drawing/2014/main" id="{00000000-0008-0000-0400-000008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177800</xdr:rowOff>
        </xdr:from>
        <xdr:to>
          <xdr:col>2</xdr:col>
          <xdr:colOff>939800</xdr:colOff>
          <xdr:row>26</xdr:row>
          <xdr:rowOff>12700</xdr:rowOff>
        </xdr:to>
        <xdr:sp macro="" textlink="">
          <xdr:nvSpPr>
            <xdr:cNvPr id="35850" name="Option Button 10" hidden="1">
              <a:extLst>
                <a:ext uri="{63B3BB69-23CF-44E3-9099-C40C66FF867C}">
                  <a14:compatExt spid="_x0000_s35850"/>
                </a:ext>
                <a:ext uri="{FF2B5EF4-FFF2-40B4-BE49-F238E27FC236}">
                  <a16:creationId xmlns:a16="http://schemas.microsoft.com/office/drawing/2014/main" id="{00000000-0008-0000-0400-00000A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No Delivery Service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3</xdr:col>
          <xdr:colOff>279400</xdr:colOff>
          <xdr:row>28</xdr:row>
          <xdr:rowOff>25400</xdr:rowOff>
        </xdr:to>
        <xdr:sp macro="" textlink="">
          <xdr:nvSpPr>
            <xdr:cNvPr id="35851" name="Option Button 11" hidden="1">
              <a:extLst>
                <a:ext uri="{63B3BB69-23CF-44E3-9099-C40C66FF867C}">
                  <a14:compatExt spid="_x0000_s35851"/>
                </a:ext>
                <a:ext uri="{FF2B5EF4-FFF2-40B4-BE49-F238E27FC236}">
                  <a16:creationId xmlns:a16="http://schemas.microsoft.com/office/drawing/2014/main" id="{00000000-0008-0000-0400-00000B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In-house Delivery Service - Company Car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0</xdr:rowOff>
        </xdr:from>
        <xdr:to>
          <xdr:col>3</xdr:col>
          <xdr:colOff>482600</xdr:colOff>
          <xdr:row>32</xdr:row>
          <xdr:rowOff>25400</xdr:rowOff>
        </xdr:to>
        <xdr:sp macro="" textlink="">
          <xdr:nvSpPr>
            <xdr:cNvPr id="35852" name="Option Button 12" hidden="1">
              <a:extLst>
                <a:ext uri="{63B3BB69-23CF-44E3-9099-C40C66FF867C}">
                  <a14:compatExt spid="_x0000_s35852"/>
                </a:ext>
                <a:ext uri="{FF2B5EF4-FFF2-40B4-BE49-F238E27FC236}">
                  <a16:creationId xmlns:a16="http://schemas.microsoft.com/office/drawing/2014/main" id="{00000000-0008-0000-0400-00000C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In-house Delivery Service - Driver's Private Car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2</xdr:col>
          <xdr:colOff>939800</xdr:colOff>
          <xdr:row>36</xdr:row>
          <xdr:rowOff>25400</xdr:rowOff>
        </xdr:to>
        <xdr:sp macro="" textlink="">
          <xdr:nvSpPr>
            <xdr:cNvPr id="35853" name="Option Button 13" hidden="1">
              <a:extLst>
                <a:ext uri="{63B3BB69-23CF-44E3-9099-C40C66FF867C}">
                  <a14:compatExt spid="_x0000_s35853"/>
                </a:ext>
                <a:ext uri="{FF2B5EF4-FFF2-40B4-BE49-F238E27FC236}">
                  <a16:creationId xmlns:a16="http://schemas.microsoft.com/office/drawing/2014/main" id="{00000000-0008-0000-0400-00000D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Contract to a Delivery Service</a:t>
              </a:r>
            </a:p>
          </xdr:txBody>
        </xdr:sp>
        <xdr:clientData/>
      </xdr:twoCellAnchor>
    </mc:Choice>
    <mc:Fallback/>
  </mc:AlternateContent>
  <xdr:twoCellAnchor editAs="oneCell">
    <xdr:from>
      <xdr:col>15</xdr:col>
      <xdr:colOff>1587</xdr:colOff>
      <xdr:row>12</xdr:row>
      <xdr:rowOff>154825</xdr:rowOff>
    </xdr:from>
    <xdr:to>
      <xdr:col>21</xdr:col>
      <xdr:colOff>190978</xdr:colOff>
      <xdr:row>29</xdr:row>
      <xdr:rowOff>180879</xdr:rowOff>
    </xdr:to>
    <xdr:pic>
      <xdr:nvPicPr>
        <xdr:cNvPr id="15" name="Picture 14" descr="https://sc01.alicdn.com/kf/HTB1mMJMKFXXXXbLXpXXq6xXFXXXT.jpg">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19250" y="3076949"/>
          <a:ext cx="4111649" cy="2840284"/>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458550</xdr:colOff>
      <xdr:row>2</xdr:row>
      <xdr:rowOff>125876</xdr:rowOff>
    </xdr:from>
    <xdr:to>
      <xdr:col>17</xdr:col>
      <xdr:colOff>485523</xdr:colOff>
      <xdr:row>14</xdr:row>
      <xdr:rowOff>104220</xdr:rowOff>
    </xdr:to>
    <xdr:pic>
      <xdr:nvPicPr>
        <xdr:cNvPr id="16" name="Picture 15" descr="https://glamox.icdn.no/media/upload/2016/01/21/cold_storage_freezing_rooms3.jpg">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36992" y="503504"/>
          <a:ext cx="3911150" cy="2190167"/>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xdr:spPr>
    </xdr:pic>
    <xdr:clientData/>
  </xdr:twoCellAnchor>
  <xdr:twoCellAnchor editAs="oneCell">
    <xdr:from>
      <xdr:col>11</xdr:col>
      <xdr:colOff>547929</xdr:colOff>
      <xdr:row>24</xdr:row>
      <xdr:rowOff>96788</xdr:rowOff>
    </xdr:from>
    <xdr:to>
      <xdr:col>15</xdr:col>
      <xdr:colOff>279281</xdr:colOff>
      <xdr:row>38</xdr:row>
      <xdr:rowOff>68228</xdr:rowOff>
    </xdr:to>
    <xdr:pic>
      <xdr:nvPicPr>
        <xdr:cNvPr id="17" name="Picture 16" descr="Hand drawn food delivery man Free Vector">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77728" y="4923449"/>
          <a:ext cx="2320804" cy="231337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0</xdr:row>
      <xdr:rowOff>88276</xdr:rowOff>
    </xdr:from>
    <xdr:to>
      <xdr:col>11</xdr:col>
      <xdr:colOff>216524</xdr:colOff>
      <xdr:row>0</xdr:row>
      <xdr:rowOff>522467</xdr:rowOff>
    </xdr:to>
    <xdr:pic>
      <xdr:nvPicPr>
        <xdr:cNvPr id="18" name="Picture 17" descr="C:\Users\mwyeoh\Dropbox\..VisualFrontier Projects\Images\Curtin\CurtinHeader.png">
          <a:extLst>
            <a:ext uri="{FF2B5EF4-FFF2-40B4-BE49-F238E27FC236}">
              <a16:creationId xmlns:a16="http://schemas.microsoft.com/office/drawing/2014/main" id="{00000000-0008-0000-0400-000012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88276"/>
          <a:ext cx="9144736" cy="434191"/>
        </a:xfrm>
        <a:prstGeom prst="rect">
          <a:avLst/>
        </a:prstGeom>
        <a:noFill/>
        <a:ln>
          <a:noFill/>
        </a:ln>
      </xdr:spPr>
    </xdr:pic>
    <xdr:clientData/>
  </xdr:twoCellAnchor>
  <xdr:oneCellAnchor>
    <xdr:from>
      <xdr:col>2</xdr:col>
      <xdr:colOff>161899</xdr:colOff>
      <xdr:row>0</xdr:row>
      <xdr:rowOff>0</xdr:rowOff>
    </xdr:from>
    <xdr:ext cx="3647858" cy="530658"/>
    <xdr:sp macro="" textlink="">
      <xdr:nvSpPr>
        <xdr:cNvPr id="21" name="TextBox 20">
          <a:extLst>
            <a:ext uri="{FF2B5EF4-FFF2-40B4-BE49-F238E27FC236}">
              <a16:creationId xmlns:a16="http://schemas.microsoft.com/office/drawing/2014/main" id="{00000000-0008-0000-0400-000015000000}"/>
            </a:ext>
          </a:extLst>
        </xdr:cNvPr>
        <xdr:cNvSpPr txBox="1"/>
      </xdr:nvSpPr>
      <xdr:spPr>
        <a:xfrm>
          <a:off x="1456625" y="0"/>
          <a:ext cx="3647858"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AU" sz="2800" b="1"/>
            <a:t>CAPITAL INVESTMENTS</a:t>
          </a:r>
        </a:p>
      </xdr:txBody>
    </xdr:sp>
    <xdr:clientData/>
  </xdr:oneCellAnchor>
  <xdr:twoCellAnchor editAs="oneCell">
    <xdr:from>
      <xdr:col>9</xdr:col>
      <xdr:colOff>323680</xdr:colOff>
      <xdr:row>0</xdr:row>
      <xdr:rowOff>585244</xdr:rowOff>
    </xdr:from>
    <xdr:to>
      <xdr:col>11</xdr:col>
      <xdr:colOff>208936</xdr:colOff>
      <xdr:row>0</xdr:row>
      <xdr:rowOff>802340</xdr:rowOff>
    </xdr:to>
    <xdr:pic>
      <xdr:nvPicPr>
        <xdr:cNvPr id="22" name="Picture 21" descr="C:\Users\mwyeoh\Dropbox\..VisualFrontier Projects\Images\Curtin\curtinbusiness.png">
          <a:extLst>
            <a:ext uri="{FF2B5EF4-FFF2-40B4-BE49-F238E27FC236}">
              <a16:creationId xmlns:a16="http://schemas.microsoft.com/office/drawing/2014/main" id="{00000000-0008-0000-0400-000016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959149" y="585244"/>
          <a:ext cx="2177999" cy="217096"/>
        </a:xfrm>
        <a:prstGeom prst="rect">
          <a:avLst/>
        </a:prstGeom>
        <a:noFill/>
        <a:ln>
          <a:noFill/>
        </a:ln>
      </xdr:spPr>
    </xdr:pic>
    <xdr:clientData/>
  </xdr:twoCellAnchor>
  <xdr:twoCellAnchor>
    <xdr:from>
      <xdr:col>9</xdr:col>
      <xdr:colOff>470812</xdr:colOff>
      <xdr:row>0</xdr:row>
      <xdr:rowOff>548461</xdr:rowOff>
    </xdr:from>
    <xdr:to>
      <xdr:col>11</xdr:col>
      <xdr:colOff>423612</xdr:colOff>
      <xdr:row>0</xdr:row>
      <xdr:rowOff>828666</xdr:rowOff>
    </xdr:to>
    <xdr:sp macro="" textlink="">
      <xdr:nvSpPr>
        <xdr:cNvPr id="23" name="TextBox 6">
          <a:extLst>
            <a:ext uri="{FF2B5EF4-FFF2-40B4-BE49-F238E27FC236}">
              <a16:creationId xmlns:a16="http://schemas.microsoft.com/office/drawing/2014/main" id="{00000000-0008-0000-0400-000017000000}"/>
            </a:ext>
          </a:extLst>
        </xdr:cNvPr>
        <xdr:cNvSpPr txBox="1"/>
      </xdr:nvSpPr>
      <xdr:spPr>
        <a:xfrm>
          <a:off x="7106281" y="548461"/>
          <a:ext cx="2245543"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6</xdr:row>
          <xdr:rowOff>12700</xdr:rowOff>
        </xdr:from>
        <xdr:to>
          <xdr:col>5</xdr:col>
          <xdr:colOff>304800</xdr:colOff>
          <xdr:row>7</xdr:row>
          <xdr:rowOff>0</xdr:rowOff>
        </xdr:to>
        <xdr:sp macro="" textlink="">
          <xdr:nvSpPr>
            <xdr:cNvPr id="15373" name="Scroll Bar 13" hidden="1">
              <a:extLst>
                <a:ext uri="{63B3BB69-23CF-44E3-9099-C40C66FF867C}">
                  <a14:compatExt spid="_x0000_s15373"/>
                </a:ext>
                <a:ext uri="{FF2B5EF4-FFF2-40B4-BE49-F238E27FC236}">
                  <a16:creationId xmlns:a16="http://schemas.microsoft.com/office/drawing/2014/main" id="{00000000-0008-0000-0500-00000D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xdr:row>
          <xdr:rowOff>12700</xdr:rowOff>
        </xdr:from>
        <xdr:to>
          <xdr:col>5</xdr:col>
          <xdr:colOff>304800</xdr:colOff>
          <xdr:row>12</xdr:row>
          <xdr:rowOff>0</xdr:rowOff>
        </xdr:to>
        <xdr:sp macro="" textlink="">
          <xdr:nvSpPr>
            <xdr:cNvPr id="15374" name="Scroll Bar 14" hidden="1">
              <a:extLst>
                <a:ext uri="{63B3BB69-23CF-44E3-9099-C40C66FF867C}">
                  <a14:compatExt spid="_x0000_s15374"/>
                </a:ext>
                <a:ext uri="{FF2B5EF4-FFF2-40B4-BE49-F238E27FC236}">
                  <a16:creationId xmlns:a16="http://schemas.microsoft.com/office/drawing/2014/main" id="{00000000-0008-0000-0500-00000E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20</xdr:row>
          <xdr:rowOff>12700</xdr:rowOff>
        </xdr:from>
        <xdr:to>
          <xdr:col>5</xdr:col>
          <xdr:colOff>279400</xdr:colOff>
          <xdr:row>20</xdr:row>
          <xdr:rowOff>177800</xdr:rowOff>
        </xdr:to>
        <xdr:sp macro="" textlink="">
          <xdr:nvSpPr>
            <xdr:cNvPr id="15375" name="Scroll Bar 15" hidden="1">
              <a:extLst>
                <a:ext uri="{63B3BB69-23CF-44E3-9099-C40C66FF867C}">
                  <a14:compatExt spid="_x0000_s15375"/>
                </a:ext>
                <a:ext uri="{FF2B5EF4-FFF2-40B4-BE49-F238E27FC236}">
                  <a16:creationId xmlns:a16="http://schemas.microsoft.com/office/drawing/2014/main" id="{00000000-0008-0000-0500-00000F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xdr:row>
          <xdr:rowOff>12700</xdr:rowOff>
        </xdr:from>
        <xdr:to>
          <xdr:col>5</xdr:col>
          <xdr:colOff>304800</xdr:colOff>
          <xdr:row>16</xdr:row>
          <xdr:rowOff>0</xdr:rowOff>
        </xdr:to>
        <xdr:sp macro="" textlink="">
          <xdr:nvSpPr>
            <xdr:cNvPr id="15376" name="Scroll Bar 16" hidden="1">
              <a:extLst>
                <a:ext uri="{63B3BB69-23CF-44E3-9099-C40C66FF867C}">
                  <a14:compatExt spid="_x0000_s15376"/>
                </a:ext>
                <a:ext uri="{FF2B5EF4-FFF2-40B4-BE49-F238E27FC236}">
                  <a16:creationId xmlns:a16="http://schemas.microsoft.com/office/drawing/2014/main" id="{00000000-0008-0000-0500-000010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8</xdr:col>
      <xdr:colOff>287165</xdr:colOff>
      <xdr:row>3</xdr:row>
      <xdr:rowOff>15240</xdr:rowOff>
    </xdr:from>
    <xdr:to>
      <xdr:col>17</xdr:col>
      <xdr:colOff>228600</xdr:colOff>
      <xdr:row>8</xdr:row>
      <xdr:rowOff>130775</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88276</xdr:rowOff>
    </xdr:from>
    <xdr:to>
      <xdr:col>13</xdr:col>
      <xdr:colOff>59851</xdr:colOff>
      <xdr:row>0</xdr:row>
      <xdr:rowOff>516752</xdr:rowOff>
    </xdr:to>
    <xdr:pic>
      <xdr:nvPicPr>
        <xdr:cNvPr id="8" name="Picture 7" descr="C:\Users\mwyeoh\Dropbox\..VisualFrontier Projects\Images\Curtin\CurtinHeader.png">
          <a:extLst>
            <a:ext uri="{FF2B5EF4-FFF2-40B4-BE49-F238E27FC236}">
              <a16:creationId xmlns:a16="http://schemas.microsoft.com/office/drawing/2014/main" id="{00000000-0008-0000-05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8276"/>
          <a:ext cx="9144736" cy="434191"/>
        </a:xfrm>
        <a:prstGeom prst="rect">
          <a:avLst/>
        </a:prstGeom>
        <a:noFill/>
        <a:ln>
          <a:noFill/>
        </a:ln>
      </xdr:spPr>
    </xdr:pic>
    <xdr:clientData/>
  </xdr:twoCellAnchor>
  <xdr:oneCellAnchor>
    <xdr:from>
      <xdr:col>3</xdr:col>
      <xdr:colOff>211093</xdr:colOff>
      <xdr:row>0</xdr:row>
      <xdr:rowOff>0</xdr:rowOff>
    </xdr:from>
    <xdr:ext cx="1886927" cy="530658"/>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2337091" y="0"/>
          <a:ext cx="1886927"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AU" sz="2800" b="1"/>
            <a:t>FINANCING</a:t>
          </a:r>
        </a:p>
      </xdr:txBody>
    </xdr:sp>
    <xdr:clientData/>
  </xdr:oneCellAnchor>
  <xdr:twoCellAnchor editAs="oneCell">
    <xdr:from>
      <xdr:col>9</xdr:col>
      <xdr:colOff>456096</xdr:colOff>
      <xdr:row>0</xdr:row>
      <xdr:rowOff>573800</xdr:rowOff>
    </xdr:from>
    <xdr:to>
      <xdr:col>13</xdr:col>
      <xdr:colOff>54169</xdr:colOff>
      <xdr:row>0</xdr:row>
      <xdr:rowOff>779466</xdr:rowOff>
    </xdr:to>
    <xdr:pic>
      <xdr:nvPicPr>
        <xdr:cNvPr id="12" name="Picture 11" descr="C:\Users\mwyeoh\Dropbox\..VisualFrontier Projects\Images\Curtin\curtinbusiness.png">
          <a:extLst>
            <a:ext uri="{FF2B5EF4-FFF2-40B4-BE49-F238E27FC236}">
              <a16:creationId xmlns:a16="http://schemas.microsoft.com/office/drawing/2014/main" id="{00000000-0008-0000-0500-00000C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59150" y="573800"/>
          <a:ext cx="2177999" cy="217096"/>
        </a:xfrm>
        <a:prstGeom prst="rect">
          <a:avLst/>
        </a:prstGeom>
        <a:noFill/>
        <a:ln>
          <a:noFill/>
        </a:ln>
      </xdr:spPr>
    </xdr:pic>
    <xdr:clientData/>
  </xdr:twoCellAnchor>
  <xdr:twoCellAnchor>
    <xdr:from>
      <xdr:col>9</xdr:col>
      <xdr:colOff>603228</xdr:colOff>
      <xdr:row>0</xdr:row>
      <xdr:rowOff>537017</xdr:rowOff>
    </xdr:from>
    <xdr:to>
      <xdr:col>13</xdr:col>
      <xdr:colOff>259320</xdr:colOff>
      <xdr:row>0</xdr:row>
      <xdr:rowOff>817222</xdr:rowOff>
    </xdr:to>
    <xdr:sp macro="" textlink="">
      <xdr:nvSpPr>
        <xdr:cNvPr id="13" name="TextBox 6">
          <a:extLst>
            <a:ext uri="{FF2B5EF4-FFF2-40B4-BE49-F238E27FC236}">
              <a16:creationId xmlns:a16="http://schemas.microsoft.com/office/drawing/2014/main" id="{00000000-0008-0000-0500-00000D000000}"/>
            </a:ext>
          </a:extLst>
        </xdr:cNvPr>
        <xdr:cNvSpPr txBox="1"/>
      </xdr:nvSpPr>
      <xdr:spPr>
        <a:xfrm>
          <a:off x="7106282" y="537017"/>
          <a:ext cx="2245543"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twoCellAnchor editAs="oneCell">
    <xdr:from>
      <xdr:col>10</xdr:col>
      <xdr:colOff>82385</xdr:colOff>
      <xdr:row>12</xdr:row>
      <xdr:rowOff>107171</xdr:rowOff>
    </xdr:from>
    <xdr:to>
      <xdr:col>15</xdr:col>
      <xdr:colOff>531966</xdr:colOff>
      <xdr:row>25</xdr:row>
      <xdr:rowOff>16372</xdr:rowOff>
    </xdr:to>
    <xdr:pic>
      <xdr:nvPicPr>
        <xdr:cNvPr id="14" name="Picture 13" descr="Office people having board meeting Free Vector">
          <a:extLst>
            <a:ext uri="{FF2B5EF4-FFF2-40B4-BE49-F238E27FC236}">
              <a16:creationId xmlns:a16="http://schemas.microsoft.com/office/drawing/2014/main" id="{00000000-0008-0000-0500-00000E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0294" t="11561"/>
        <a:stretch/>
      </xdr:blipFill>
      <xdr:spPr bwMode="auto">
        <a:xfrm>
          <a:off x="7235744" y="3902336"/>
          <a:ext cx="3686395" cy="2077866"/>
        </a:xfrm>
        <a:prstGeom prst="rect">
          <a:avLst/>
        </a:prstGeom>
        <a:ln w="190500" cap="sq">
          <a:solidFill>
            <a:srgbClr val="C8C6BD"/>
          </a:solidFill>
          <a:prstDash val="solid"/>
          <a:miter lim="800000"/>
        </a:ln>
        <a:effectLst>
          <a:outerShdw blurRad="254000" algn="bl" rotWithShape="0">
            <a:srgbClr val="000000">
              <a:alpha val="43000"/>
            </a:srgbClr>
          </a:outerShdw>
        </a:effectLst>
        <a:scene3d>
          <a:camera prst="perspectiveFront" fov="5400000"/>
          <a:lightRig rig="threePt" dir="t">
            <a:rot lat="0" lon="0" rev="2100000"/>
          </a:lightRig>
        </a:scene3d>
        <a:sp3d extrusionH="25400">
          <a:bevelT w="304800" h="152400" prst="hardEdge"/>
          <a:extrusionClr>
            <a:srgbClr val="000000"/>
          </a:extrusionClr>
        </a:sp3d>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147894</xdr:colOff>
      <xdr:row>13</xdr:row>
      <xdr:rowOff>142800</xdr:rowOff>
    </xdr:from>
    <xdr:to>
      <xdr:col>15</xdr:col>
      <xdr:colOff>9520</xdr:colOff>
      <xdr:row>33</xdr:row>
      <xdr:rowOff>114241</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152853</xdr:colOff>
      <xdr:row>0</xdr:row>
      <xdr:rowOff>152321</xdr:rowOff>
    </xdr:from>
    <xdr:to>
      <xdr:col>14</xdr:col>
      <xdr:colOff>1028164</xdr:colOff>
      <xdr:row>13</xdr:row>
      <xdr:rowOff>76160</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482600</xdr:colOff>
          <xdr:row>3</xdr:row>
          <xdr:rowOff>63500</xdr:rowOff>
        </xdr:from>
        <xdr:to>
          <xdr:col>12</xdr:col>
          <xdr:colOff>152400</xdr:colOff>
          <xdr:row>22</xdr:row>
          <xdr:rowOff>12700</xdr:rowOff>
        </xdr:to>
        <xdr:sp macro="" textlink="">
          <xdr:nvSpPr>
            <xdr:cNvPr id="24577" name="Group Box 1" hidden="1">
              <a:extLst>
                <a:ext uri="{63B3BB69-23CF-44E3-9099-C40C66FF867C}">
                  <a14:compatExt spid="_x0000_s24577"/>
                </a:ext>
                <a:ext uri="{FF2B5EF4-FFF2-40B4-BE49-F238E27FC236}">
                  <a16:creationId xmlns:a16="http://schemas.microsoft.com/office/drawing/2014/main" id="{00000000-0008-0000-0700-000001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3</xdr:row>
          <xdr:rowOff>177800</xdr:rowOff>
        </xdr:from>
        <xdr:to>
          <xdr:col>3</xdr:col>
          <xdr:colOff>127000</xdr:colOff>
          <xdr:row>5</xdr:row>
          <xdr:rowOff>25400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0700-000002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Hot Chips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9</xdr:row>
          <xdr:rowOff>177800</xdr:rowOff>
        </xdr:from>
        <xdr:to>
          <xdr:col>3</xdr:col>
          <xdr:colOff>127000</xdr:colOff>
          <xdr:row>11</xdr:row>
          <xdr:rowOff>25400</xdr:rowOff>
        </xdr:to>
        <xdr:sp macro="" textlink="">
          <xdr:nvSpPr>
            <xdr:cNvPr id="24580" name="Option Button 4" hidden="1">
              <a:extLst>
                <a:ext uri="{63B3BB69-23CF-44E3-9099-C40C66FF867C}">
                  <a14:compatExt spid="_x0000_s24580"/>
                </a:ext>
                <a:ext uri="{FF2B5EF4-FFF2-40B4-BE49-F238E27FC236}">
                  <a16:creationId xmlns:a16="http://schemas.microsoft.com/office/drawing/2014/main" id="{00000000-0008-0000-0700-000004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Fresh Salad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14</xdr:row>
          <xdr:rowOff>177800</xdr:rowOff>
        </xdr:from>
        <xdr:to>
          <xdr:col>3</xdr:col>
          <xdr:colOff>127000</xdr:colOff>
          <xdr:row>16</xdr:row>
          <xdr:rowOff>25400</xdr:rowOff>
        </xdr:to>
        <xdr:sp macro="" textlink="">
          <xdr:nvSpPr>
            <xdr:cNvPr id="24581" name="Option Button 5" hidden="1">
              <a:extLst>
                <a:ext uri="{63B3BB69-23CF-44E3-9099-C40C66FF867C}">
                  <a14:compatExt spid="_x0000_s24581"/>
                </a:ext>
                <a:ext uri="{FF2B5EF4-FFF2-40B4-BE49-F238E27FC236}">
                  <a16:creationId xmlns:a16="http://schemas.microsoft.com/office/drawing/2014/main" id="{00000000-0008-0000-0700-000005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Garlic Bread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101600</xdr:colOff>
          <xdr:row>25</xdr:row>
          <xdr:rowOff>12700</xdr:rowOff>
        </xdr:from>
        <xdr:to>
          <xdr:col>5</xdr:col>
          <xdr:colOff>317500</xdr:colOff>
          <xdr:row>25</xdr:row>
          <xdr:rowOff>177800</xdr:rowOff>
        </xdr:to>
        <xdr:sp macro="" textlink="">
          <xdr:nvSpPr>
            <xdr:cNvPr id="24582" name="Scroll Bar 6" hidden="1">
              <a:extLst>
                <a:ext uri="{63B3BB69-23CF-44E3-9099-C40C66FF867C}">
                  <a14:compatExt spid="_x0000_s24582"/>
                </a:ext>
                <a:ext uri="{FF2B5EF4-FFF2-40B4-BE49-F238E27FC236}">
                  <a16:creationId xmlns:a16="http://schemas.microsoft.com/office/drawing/2014/main" id="{00000000-0008-0000-0700-0000066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12</xdr:col>
      <xdr:colOff>611782</xdr:colOff>
      <xdr:row>1</xdr:row>
      <xdr:rowOff>516093</xdr:rowOff>
    </xdr:from>
    <xdr:to>
      <xdr:col>16</xdr:col>
      <xdr:colOff>98987</xdr:colOff>
      <xdr:row>8</xdr:row>
      <xdr:rowOff>95307</xdr:rowOff>
    </xdr:to>
    <xdr:pic>
      <xdr:nvPicPr>
        <xdr:cNvPr id="9" name="Picture 8" descr="French fries with ketchup on wood table Free Photo">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47675" y="1370252"/>
          <a:ext cx="2076658" cy="137744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13</xdr:col>
      <xdr:colOff>581471</xdr:colOff>
      <xdr:row>7</xdr:row>
      <xdr:rowOff>178290</xdr:rowOff>
    </xdr:from>
    <xdr:to>
      <xdr:col>17</xdr:col>
      <xdr:colOff>80919</xdr:colOff>
      <xdr:row>15</xdr:row>
      <xdr:rowOff>80919</xdr:rowOff>
    </xdr:to>
    <xdr:pic>
      <xdr:nvPicPr>
        <xdr:cNvPr id="10" name="Picture 9" descr="Greek salad with fresh tomato, cucumber, red onion, basil, feta cheese, black olives and italian herbs Free Photo">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58434" y="2654453"/>
          <a:ext cx="2088899" cy="1391563"/>
        </a:xfrm>
        <a:prstGeom prst="snip2DiagRect">
          <a:avLst/>
        </a:prstGeom>
        <a:solidFill>
          <a:srgbClr val="FFFFFF">
            <a:shade val="85000"/>
          </a:srgbClr>
        </a:solidFill>
        <a:ln w="88900" cap="sq">
          <a:solidFill>
            <a:srgbClr val="FFFFFF"/>
          </a:solidFill>
          <a:miter lim="800000"/>
        </a:ln>
        <a:effectLst>
          <a:outerShdw blurRad="88900" algn="tl" rotWithShape="0">
            <a:srgbClr val="000000">
              <a:alpha val="45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15</xdr:col>
      <xdr:colOff>204613</xdr:colOff>
      <xdr:row>13</xdr:row>
      <xdr:rowOff>182651</xdr:rowOff>
    </xdr:from>
    <xdr:to>
      <xdr:col>18</xdr:col>
      <xdr:colOff>272808</xdr:colOff>
      <xdr:row>22</xdr:row>
      <xdr:rowOff>16184</xdr:rowOff>
    </xdr:to>
    <xdr:pic>
      <xdr:nvPicPr>
        <xdr:cNvPr id="11" name="Picture 10" descr="https://food.fnr.sndimg.com/content/dam/images/food/fullset/2019/7/11/0/FNK_the-best-garlic-bread_H_s4x3.jpg.rend.hgtvcom.826.620.suffix/1562853902494.jpeg">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76301" y="3775515"/>
          <a:ext cx="2010284" cy="150858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0</xdr:colOff>
      <xdr:row>0</xdr:row>
      <xdr:rowOff>88276</xdr:rowOff>
    </xdr:from>
    <xdr:to>
      <xdr:col>13</xdr:col>
      <xdr:colOff>267773</xdr:colOff>
      <xdr:row>0</xdr:row>
      <xdr:rowOff>522467</xdr:rowOff>
    </xdr:to>
    <xdr:pic>
      <xdr:nvPicPr>
        <xdr:cNvPr id="12" name="Picture 11" descr="C:\Users\mwyeoh\Dropbox\..VisualFrontier Projects\Images\Curtin\CurtinHeader.png">
          <a:extLst>
            <a:ext uri="{FF2B5EF4-FFF2-40B4-BE49-F238E27FC236}">
              <a16:creationId xmlns:a16="http://schemas.microsoft.com/office/drawing/2014/main" id="{00000000-0008-0000-0700-00000C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88276"/>
          <a:ext cx="9144736" cy="434191"/>
        </a:xfrm>
        <a:prstGeom prst="rect">
          <a:avLst/>
        </a:prstGeom>
        <a:noFill/>
        <a:ln>
          <a:noFill/>
        </a:ln>
      </xdr:spPr>
    </xdr:pic>
    <xdr:clientData/>
  </xdr:twoCellAnchor>
  <xdr:oneCellAnchor>
    <xdr:from>
      <xdr:col>2</xdr:col>
      <xdr:colOff>594391</xdr:colOff>
      <xdr:row>0</xdr:row>
      <xdr:rowOff>0</xdr:rowOff>
    </xdr:from>
    <xdr:ext cx="2782878" cy="530658"/>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1889117" y="0"/>
          <a:ext cx="2782878"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AU" sz="2800" b="1"/>
            <a:t>DIVERSIFICATION</a:t>
          </a:r>
        </a:p>
      </xdr:txBody>
    </xdr:sp>
    <xdr:clientData/>
  </xdr:oneCellAnchor>
  <xdr:twoCellAnchor editAs="oneCell">
    <xdr:from>
      <xdr:col>10</xdr:col>
      <xdr:colOff>315590</xdr:colOff>
      <xdr:row>0</xdr:row>
      <xdr:rowOff>578949</xdr:rowOff>
    </xdr:from>
    <xdr:to>
      <xdr:col>13</xdr:col>
      <xdr:colOff>268279</xdr:colOff>
      <xdr:row>0</xdr:row>
      <xdr:rowOff>796045</xdr:rowOff>
    </xdr:to>
    <xdr:pic>
      <xdr:nvPicPr>
        <xdr:cNvPr id="16" name="Picture 15" descr="C:\Users\mwyeoh\Dropbox\..VisualFrontier Projects\Images\Curtin\curtinbusiness.png">
          <a:extLst>
            <a:ext uri="{FF2B5EF4-FFF2-40B4-BE49-F238E27FC236}">
              <a16:creationId xmlns:a16="http://schemas.microsoft.com/office/drawing/2014/main" id="{00000000-0008-0000-0700-00001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967243" y="578949"/>
          <a:ext cx="2177999" cy="217096"/>
        </a:xfrm>
        <a:prstGeom prst="rect">
          <a:avLst/>
        </a:prstGeom>
        <a:noFill/>
        <a:ln>
          <a:noFill/>
        </a:ln>
      </xdr:spPr>
    </xdr:pic>
    <xdr:clientData/>
  </xdr:twoCellAnchor>
  <xdr:twoCellAnchor>
    <xdr:from>
      <xdr:col>10</xdr:col>
      <xdr:colOff>462722</xdr:colOff>
      <xdr:row>0</xdr:row>
      <xdr:rowOff>542166</xdr:rowOff>
    </xdr:from>
    <xdr:to>
      <xdr:col>13</xdr:col>
      <xdr:colOff>482955</xdr:colOff>
      <xdr:row>0</xdr:row>
      <xdr:rowOff>822371</xdr:rowOff>
    </xdr:to>
    <xdr:sp macro="" textlink="">
      <xdr:nvSpPr>
        <xdr:cNvPr id="17" name="TextBox 6">
          <a:extLst>
            <a:ext uri="{FF2B5EF4-FFF2-40B4-BE49-F238E27FC236}">
              <a16:creationId xmlns:a16="http://schemas.microsoft.com/office/drawing/2014/main" id="{00000000-0008-0000-0700-000011000000}"/>
            </a:ext>
          </a:extLst>
        </xdr:cNvPr>
        <xdr:cNvSpPr txBox="1"/>
      </xdr:nvSpPr>
      <xdr:spPr>
        <a:xfrm>
          <a:off x="7114375" y="542166"/>
          <a:ext cx="2245543" cy="28020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AU" sz="1200" b="1">
              <a:solidFill>
                <a:schemeClr val="bg1"/>
              </a:solidFill>
            </a:rPr>
            <a:t>Faculty of Business and Law</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252876</xdr:colOff>
      <xdr:row>15</xdr:row>
      <xdr:rowOff>131496</xdr:rowOff>
    </xdr:from>
    <xdr:to>
      <xdr:col>25</xdr:col>
      <xdr:colOff>505005</xdr:colOff>
      <xdr:row>37</xdr:row>
      <xdr:rowOff>252877</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266362</xdr:colOff>
      <xdr:row>0</xdr:row>
      <xdr:rowOff>87665</xdr:rowOff>
    </xdr:from>
    <xdr:to>
      <xdr:col>25</xdr:col>
      <xdr:colOff>515769</xdr:colOff>
      <xdr:row>14</xdr:row>
      <xdr:rowOff>184651</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3" Type="http://schemas.openxmlformats.org/officeDocument/2006/relationships/vmlDrawing" Target="../drawings/vmlDrawing2.vml"/><Relationship Id="rId7" Type="http://schemas.openxmlformats.org/officeDocument/2006/relationships/ctrlProp" Target="../ctrlProps/ctrlProp11.xml"/><Relationship Id="rId12" Type="http://schemas.openxmlformats.org/officeDocument/2006/relationships/ctrlProp" Target="../ctrlProps/ctrlProp16.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0.xml"/><Relationship Id="rId11" Type="http://schemas.openxmlformats.org/officeDocument/2006/relationships/ctrlProp" Target="../ctrlProps/ctrlProp15.xml"/><Relationship Id="rId5" Type="http://schemas.openxmlformats.org/officeDocument/2006/relationships/ctrlProp" Target="../ctrlProps/ctrlProp9.xml"/><Relationship Id="rId15" Type="http://schemas.openxmlformats.org/officeDocument/2006/relationships/ctrlProp" Target="../ctrlProps/ctrlProp19.xml"/><Relationship Id="rId10" Type="http://schemas.openxmlformats.org/officeDocument/2006/relationships/ctrlProp" Target="../ctrlProps/ctrlProp14.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4.xml"/><Relationship Id="rId3" Type="http://schemas.openxmlformats.org/officeDocument/2006/relationships/vmlDrawing" Target="../drawings/vmlDrawing3.vml"/><Relationship Id="rId7" Type="http://schemas.openxmlformats.org/officeDocument/2006/relationships/ctrlProp" Target="../ctrlProps/ctrlProp23.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3" Type="http://schemas.openxmlformats.org/officeDocument/2006/relationships/vmlDrawing" Target="../drawings/vmlDrawing4.vml"/><Relationship Id="rId7" Type="http://schemas.openxmlformats.org/officeDocument/2006/relationships/ctrlProp" Target="../ctrlProps/ctrlProp31.xml"/><Relationship Id="rId12" Type="http://schemas.openxmlformats.org/officeDocument/2006/relationships/ctrlProp" Target="../ctrlProps/ctrlProp36.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5" Type="http://schemas.openxmlformats.org/officeDocument/2006/relationships/ctrlProp" Target="../ctrlProps/ctrlProp3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43.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42.xml"/><Relationship Id="rId5" Type="http://schemas.openxmlformats.org/officeDocument/2006/relationships/ctrlProp" Target="../ctrlProps/ctrlProp41.xml"/><Relationship Id="rId4" Type="http://schemas.openxmlformats.org/officeDocument/2006/relationships/ctrlProp" Target="../ctrlProps/ctrlProp40.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vmlDrawing" Target="../drawings/vmlDrawing6.vml"/><Relationship Id="rId7" Type="http://schemas.openxmlformats.org/officeDocument/2006/relationships/ctrlProp" Target="../ctrlProps/ctrlProp47.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4:K15"/>
  <sheetViews>
    <sheetView zoomScaleNormal="100" workbookViewId="0">
      <selection activeCell="C7" sqref="C7:I7"/>
    </sheetView>
  </sheetViews>
  <sheetFormatPr baseColWidth="10" defaultColWidth="8.83203125" defaultRowHeight="24" x14ac:dyDescent="0.3"/>
  <cols>
    <col min="1" max="1" width="8.83203125" style="13"/>
    <col min="2" max="2" width="22.5" style="13" customWidth="1"/>
    <col min="3" max="5" width="8.83203125" style="13"/>
    <col min="6" max="6" width="15.5" style="13" bestFit="1" customWidth="1"/>
    <col min="7" max="8" width="8.83203125" style="13"/>
    <col min="9" max="9" width="21.83203125" style="13" customWidth="1"/>
    <col min="10" max="10" width="11" style="13" bestFit="1" customWidth="1"/>
    <col min="11" max="11" width="10.5" style="13" bestFit="1" customWidth="1"/>
    <col min="12" max="16384" width="8.83203125" style="13"/>
  </cols>
  <sheetData>
    <row r="4" spans="1:11" ht="13.5" customHeight="1" x14ac:dyDescent="0.3"/>
    <row r="5" spans="1:11" x14ac:dyDescent="0.3">
      <c r="B5" s="13" t="s">
        <v>80</v>
      </c>
      <c r="C5" s="173" t="s">
        <v>514</v>
      </c>
      <c r="D5" s="173"/>
      <c r="E5" s="173"/>
      <c r="F5" s="173"/>
      <c r="G5" s="173"/>
      <c r="H5" s="173"/>
      <c r="I5" s="173"/>
    </row>
    <row r="6" spans="1:11" x14ac:dyDescent="0.3">
      <c r="B6" s="13" t="s">
        <v>81</v>
      </c>
      <c r="C6" s="173" t="s">
        <v>515</v>
      </c>
      <c r="D6" s="173"/>
      <c r="E6" s="173"/>
      <c r="F6" s="173"/>
      <c r="G6" s="173"/>
      <c r="H6" s="173"/>
      <c r="I6" s="173"/>
      <c r="K6" s="1" t="str">
        <f>"Completion Mark: "&amp;'(HIDE) Data Validation'!H66&amp;" out of 5"</f>
        <v>Completion Mark: 5 out of 5</v>
      </c>
    </row>
    <row r="7" spans="1:11" x14ac:dyDescent="0.3">
      <c r="B7" s="13" t="s">
        <v>82</v>
      </c>
      <c r="C7" s="173">
        <v>11284820</v>
      </c>
      <c r="D7" s="173"/>
      <c r="E7" s="173"/>
      <c r="F7" s="173"/>
      <c r="G7" s="173"/>
      <c r="H7" s="173"/>
      <c r="I7" s="173"/>
      <c r="K7" s="1" t="e">
        <f>"Ratio Mark : "&amp;'(HIDE) Data Validation'!H67&amp;" out of 15"</f>
        <v>#REF!</v>
      </c>
    </row>
    <row r="8" spans="1:11" x14ac:dyDescent="0.3">
      <c r="A8" s="67"/>
      <c r="K8" s="5" t="e">
        <f>"Final Mark : "&amp;'(HIDE) Data Validation'!H68&amp;" out of 20"</f>
        <v>#REF!</v>
      </c>
    </row>
    <row r="9" spans="1:11" ht="211.5" customHeight="1" x14ac:dyDescent="0.3">
      <c r="B9" s="174" t="s">
        <v>435</v>
      </c>
      <c r="C9" s="174"/>
      <c r="D9" s="174"/>
      <c r="E9" s="174"/>
      <c r="F9" s="174"/>
      <c r="G9" s="174"/>
      <c r="H9" s="174"/>
      <c r="I9" s="174"/>
    </row>
    <row r="10" spans="1:11" ht="44.5" customHeight="1" x14ac:dyDescent="0.3">
      <c r="B10" s="174" t="s">
        <v>95</v>
      </c>
      <c r="C10" s="174"/>
      <c r="D10" s="174"/>
      <c r="E10" s="174"/>
      <c r="F10" s="174"/>
      <c r="G10" s="174"/>
      <c r="H10" s="174"/>
      <c r="I10" s="174"/>
      <c r="J10" s="69"/>
    </row>
    <row r="11" spans="1:11" ht="81.25" customHeight="1" x14ac:dyDescent="0.3">
      <c r="B11" s="174"/>
      <c r="C11" s="174"/>
      <c r="D11" s="174"/>
      <c r="E11" s="174"/>
      <c r="F11" s="174"/>
      <c r="G11" s="174"/>
      <c r="H11" s="174"/>
      <c r="I11" s="174"/>
      <c r="J11" s="69"/>
    </row>
    <row r="13" spans="1:11" x14ac:dyDescent="0.3">
      <c r="G13" s="45" t="s">
        <v>331</v>
      </c>
    </row>
    <row r="14" spans="1:11" x14ac:dyDescent="0.3">
      <c r="F14" s="61" t="s">
        <v>495</v>
      </c>
    </row>
    <row r="15" spans="1:11" x14ac:dyDescent="0.3">
      <c r="F15" s="160" t="e">
        <f>'(HIDE) Data Validation'!I80</f>
        <v>#REF!</v>
      </c>
    </row>
  </sheetData>
  <sheetProtection password="DBEB" sheet="1" objects="1" scenarios="1" selectLockedCells="1"/>
  <mergeCells count="5">
    <mergeCell ref="C5:I5"/>
    <mergeCell ref="C6:I6"/>
    <mergeCell ref="C7:I7"/>
    <mergeCell ref="B9:I9"/>
    <mergeCell ref="B10:I11"/>
  </mergeCells>
  <conditionalFormatting sqref="C7">
    <cfRule type="cellIs" dxfId="2" priority="1" operator="between">
      <formula>9999999</formula>
      <formula>1</formula>
    </cfRule>
    <cfRule type="cellIs" dxfId="1" priority="2" operator="greaterThan">
      <formula>99999999</formula>
    </cfRule>
  </conditionalFormatting>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2:O55"/>
  <sheetViews>
    <sheetView topLeftCell="A12" zoomScaleNormal="100" workbookViewId="0">
      <selection activeCell="G38" sqref="G38"/>
    </sheetView>
  </sheetViews>
  <sheetFormatPr baseColWidth="10" defaultColWidth="8.83203125" defaultRowHeight="15" x14ac:dyDescent="0.2"/>
  <cols>
    <col min="1" max="1" width="3.5" style="1" customWidth="1"/>
    <col min="2" max="2" width="35.5" style="1" customWidth="1"/>
    <col min="3" max="15" width="15.5" style="1" customWidth="1"/>
    <col min="16" max="16384" width="8.83203125" style="1"/>
  </cols>
  <sheetData>
    <row r="2" spans="2:15" ht="16" x14ac:dyDescent="0.2">
      <c r="B2" s="209" t="str">
        <f>IF('Business Setup'!F3="","UNNAMED",'Business Setup'!F3)</f>
        <v>Insight-FULL Pizza</v>
      </c>
      <c r="C2" s="210"/>
      <c r="D2" s="210"/>
      <c r="E2" s="210"/>
      <c r="F2" s="210"/>
      <c r="G2" s="210"/>
      <c r="H2" s="210"/>
      <c r="I2" s="210"/>
      <c r="J2" s="210"/>
      <c r="K2" s="210"/>
      <c r="L2" s="210"/>
      <c r="M2" s="210"/>
      <c r="N2" s="210"/>
      <c r="O2" s="211"/>
    </row>
    <row r="3" spans="2:15" ht="16" x14ac:dyDescent="0.2">
      <c r="B3" s="212" t="str">
        <f>'(HIDE) Data Validation'!A6&amp;" Monthly Inventory Report"</f>
        <v>Pizzas Monthly Inventory Report</v>
      </c>
      <c r="C3" s="213"/>
      <c r="D3" s="213"/>
      <c r="E3" s="213"/>
      <c r="F3" s="213"/>
      <c r="G3" s="213"/>
      <c r="H3" s="213"/>
      <c r="I3" s="213"/>
      <c r="J3" s="213"/>
      <c r="K3" s="213"/>
      <c r="L3" s="213"/>
      <c r="M3" s="213"/>
      <c r="N3" s="213"/>
      <c r="O3" s="214"/>
    </row>
    <row r="4" spans="2:15" ht="16" x14ac:dyDescent="0.2">
      <c r="B4" s="212" t="s">
        <v>348</v>
      </c>
      <c r="C4" s="213"/>
      <c r="D4" s="213"/>
      <c r="E4" s="213"/>
      <c r="F4" s="213"/>
      <c r="G4" s="213"/>
      <c r="H4" s="213"/>
      <c r="I4" s="213"/>
      <c r="J4" s="213"/>
      <c r="K4" s="213"/>
      <c r="L4" s="213"/>
      <c r="M4" s="213"/>
      <c r="N4" s="213"/>
      <c r="O4" s="214"/>
    </row>
    <row r="5" spans="2:15" x14ac:dyDescent="0.2">
      <c r="B5" s="113"/>
      <c r="C5" s="25" t="s">
        <v>114</v>
      </c>
      <c r="D5" s="25" t="s">
        <v>115</v>
      </c>
      <c r="E5" s="25" t="s">
        <v>116</v>
      </c>
      <c r="F5" s="25" t="s">
        <v>118</v>
      </c>
      <c r="G5" s="25" t="s">
        <v>5</v>
      </c>
      <c r="H5" s="25" t="s">
        <v>119</v>
      </c>
      <c r="I5" s="25" t="s">
        <v>120</v>
      </c>
      <c r="J5" s="25" t="s">
        <v>121</v>
      </c>
      <c r="K5" s="25" t="s">
        <v>122</v>
      </c>
      <c r="L5" s="25" t="s">
        <v>123</v>
      </c>
      <c r="M5" s="25" t="s">
        <v>124</v>
      </c>
      <c r="N5" s="25" t="s">
        <v>125</v>
      </c>
      <c r="O5" s="25" t="s">
        <v>230</v>
      </c>
    </row>
    <row r="6" spans="2:15" x14ac:dyDescent="0.2">
      <c r="B6" s="115"/>
      <c r="C6" s="116" t="s">
        <v>40</v>
      </c>
      <c r="D6" s="116" t="s">
        <v>40</v>
      </c>
      <c r="E6" s="116" t="s">
        <v>40</v>
      </c>
      <c r="F6" s="116" t="s">
        <v>40</v>
      </c>
      <c r="G6" s="116" t="s">
        <v>40</v>
      </c>
      <c r="H6" s="116" t="s">
        <v>40</v>
      </c>
      <c r="I6" s="116" t="s">
        <v>40</v>
      </c>
      <c r="J6" s="116" t="s">
        <v>40</v>
      </c>
      <c r="K6" s="116" t="s">
        <v>40</v>
      </c>
      <c r="L6" s="116" t="s">
        <v>40</v>
      </c>
      <c r="M6" s="116" t="s">
        <v>40</v>
      </c>
      <c r="N6" s="116" t="s">
        <v>40</v>
      </c>
      <c r="O6" s="116" t="s">
        <v>40</v>
      </c>
    </row>
    <row r="7" spans="2:15" x14ac:dyDescent="0.2">
      <c r="B7" s="112" t="s">
        <v>228</v>
      </c>
      <c r="C7" s="90">
        <v>0</v>
      </c>
      <c r="D7" s="90">
        <f>C10</f>
        <v>6266.3212500000009</v>
      </c>
      <c r="E7" s="90">
        <f t="shared" ref="E7:N7" si="0">D10</f>
        <v>7486.1205000000009</v>
      </c>
      <c r="F7" s="90">
        <f t="shared" si="0"/>
        <v>9381.9127500000031</v>
      </c>
      <c r="G7" s="90">
        <f t="shared" si="0"/>
        <v>10108.10325</v>
      </c>
      <c r="H7" s="90">
        <f t="shared" si="0"/>
        <v>12164.527499999997</v>
      </c>
      <c r="I7" s="90">
        <f t="shared" si="0"/>
        <v>11829.877500000002</v>
      </c>
      <c r="J7" s="90">
        <f t="shared" si="0"/>
        <v>12452.326500000003</v>
      </c>
      <c r="K7" s="90">
        <f t="shared" si="0"/>
        <v>14254.416750000004</v>
      </c>
      <c r="L7" s="90">
        <f t="shared" si="0"/>
        <v>13367.594250000009</v>
      </c>
      <c r="M7" s="90">
        <f t="shared" si="0"/>
        <v>13698.897750000011</v>
      </c>
      <c r="N7" s="90">
        <f t="shared" si="0"/>
        <v>16760.945249999997</v>
      </c>
      <c r="O7" s="91">
        <f>C7</f>
        <v>0</v>
      </c>
    </row>
    <row r="8" spans="2:15" x14ac:dyDescent="0.2">
      <c r="B8" s="117" t="s">
        <v>226</v>
      </c>
      <c r="C8" s="97">
        <f>'2019 Full Year Cash Budget'!C17</f>
        <v>23005.514250000004</v>
      </c>
      <c r="D8" s="97">
        <f>'2019 Full Year Cash Budget'!D17</f>
        <v>26285.084250000004</v>
      </c>
      <c r="E8" s="97">
        <f>'2019 Full Year Cash Budget'!E17</f>
        <v>31840.274250000002</v>
      </c>
      <c r="F8" s="97">
        <f>'2019 Full Year Cash Budget'!F17</f>
        <v>38253.841500000002</v>
      </c>
      <c r="G8" s="97">
        <f>'2019 Full Year Cash Budget'!G17</f>
        <v>42488.837249999997</v>
      </c>
      <c r="H8" s="97">
        <f>'2019 Full Year Cash Budget'!H17</f>
        <v>48323.460000000006</v>
      </c>
      <c r="I8" s="97">
        <f>'2019 Full Year Cash Budget'!I17</f>
        <v>47941.959000000003</v>
      </c>
      <c r="J8" s="97">
        <f>'2019 Full Year Cash Budget'!J17</f>
        <v>51611.396250000005</v>
      </c>
      <c r="K8" s="97">
        <f>'2019 Full Year Cash Budget'!K17</f>
        <v>56130.844499999999</v>
      </c>
      <c r="L8" s="97">
        <f>'2019 Full Year Cash Budget'!L17</f>
        <v>53801.680500000002</v>
      </c>
      <c r="M8" s="97">
        <f>'2019 Full Year Cash Budget'!M17</f>
        <v>57857.638500000001</v>
      </c>
      <c r="N8" s="97">
        <f>'2019 Full Year Cash Budget'!N17</f>
        <v>67279.70925</v>
      </c>
      <c r="O8" s="98">
        <f>SUM(C8:N8)</f>
        <v>544820.23950000003</v>
      </c>
    </row>
    <row r="9" spans="2:15" x14ac:dyDescent="0.2">
      <c r="B9" s="112" t="s">
        <v>229</v>
      </c>
      <c r="C9" s="90">
        <f>'(HIDE) Data Validation'!M17</f>
        <v>16739.193000000003</v>
      </c>
      <c r="D9" s="90">
        <f>'(HIDE) Data Validation'!N17</f>
        <v>25065.285000000003</v>
      </c>
      <c r="E9" s="90">
        <f>'(HIDE) Data Validation'!O17</f>
        <v>29944.482000000004</v>
      </c>
      <c r="F9" s="90">
        <f>'(HIDE) Data Validation'!P17</f>
        <v>37527.651000000005</v>
      </c>
      <c r="G9" s="90">
        <f>'(HIDE) Data Validation'!Q17</f>
        <v>40432.413</v>
      </c>
      <c r="H9" s="90">
        <f>'(HIDE) Data Validation'!R17</f>
        <v>48658.11</v>
      </c>
      <c r="I9" s="90">
        <f>'(HIDE) Data Validation'!S17</f>
        <v>47319.51</v>
      </c>
      <c r="J9" s="90">
        <f>'(HIDE) Data Validation'!T17</f>
        <v>49809.306000000004</v>
      </c>
      <c r="K9" s="90">
        <f>'(HIDE) Data Validation'!U17</f>
        <v>57017.667000000001</v>
      </c>
      <c r="L9" s="90">
        <f>'(HIDE) Data Validation'!V17</f>
        <v>53470.377</v>
      </c>
      <c r="M9" s="90">
        <f>'(HIDE) Data Validation'!W17</f>
        <v>54795.591000000008</v>
      </c>
      <c r="N9" s="90">
        <f>'(HIDE) Data Validation'!X17</f>
        <v>67043.781000000003</v>
      </c>
      <c r="O9" s="91">
        <f>SUM(C9:N9)</f>
        <v>527823.36600000004</v>
      </c>
    </row>
    <row r="10" spans="2:15" x14ac:dyDescent="0.2">
      <c r="B10" s="117" t="s">
        <v>231</v>
      </c>
      <c r="C10" s="97">
        <f>C7+C8-C9</f>
        <v>6266.3212500000009</v>
      </c>
      <c r="D10" s="97">
        <f t="shared" ref="D10:N10" si="1">D7+D8-D9</f>
        <v>7486.1205000000009</v>
      </c>
      <c r="E10" s="97">
        <f t="shared" si="1"/>
        <v>9381.9127500000031</v>
      </c>
      <c r="F10" s="97">
        <f t="shared" si="1"/>
        <v>10108.10325</v>
      </c>
      <c r="G10" s="97">
        <f t="shared" si="1"/>
        <v>12164.527499999997</v>
      </c>
      <c r="H10" s="97">
        <f t="shared" si="1"/>
        <v>11829.877500000002</v>
      </c>
      <c r="I10" s="97">
        <f t="shared" si="1"/>
        <v>12452.326500000003</v>
      </c>
      <c r="J10" s="97">
        <f t="shared" si="1"/>
        <v>14254.416750000004</v>
      </c>
      <c r="K10" s="97">
        <f t="shared" si="1"/>
        <v>13367.594250000009</v>
      </c>
      <c r="L10" s="97">
        <f t="shared" si="1"/>
        <v>13698.897750000011</v>
      </c>
      <c r="M10" s="97">
        <f t="shared" si="1"/>
        <v>16760.945249999997</v>
      </c>
      <c r="N10" s="97">
        <f t="shared" si="1"/>
        <v>16996.873500000002</v>
      </c>
      <c r="O10" s="98">
        <f>N10</f>
        <v>16996.873500000002</v>
      </c>
    </row>
    <row r="11" spans="2:15" x14ac:dyDescent="0.2">
      <c r="B11" s="93"/>
      <c r="C11" s="93"/>
      <c r="D11" s="93"/>
      <c r="E11" s="93"/>
      <c r="F11" s="93"/>
      <c r="G11" s="93"/>
      <c r="H11" s="93"/>
      <c r="I11" s="93"/>
      <c r="J11" s="93"/>
      <c r="K11" s="93"/>
      <c r="L11" s="93"/>
      <c r="M11" s="93"/>
      <c r="N11" s="93"/>
      <c r="O11" s="93"/>
    </row>
    <row r="12" spans="2:15" ht="19" x14ac:dyDescent="0.25">
      <c r="L12" s="215" t="str">
        <f>"Average "&amp;'(HIDE) Data Validation'!A6&amp;" Inventory"</f>
        <v>Average Pizzas Inventory</v>
      </c>
      <c r="M12" s="215"/>
      <c r="N12" s="215"/>
      <c r="O12" s="118">
        <f>ROUND(AVERAGE(C10:N10),2)</f>
        <v>12063.99</v>
      </c>
    </row>
    <row r="13" spans="2:15" ht="16" x14ac:dyDescent="0.2">
      <c r="B13" s="209" t="str">
        <f>IF('Business Setup'!F3="","UNNAMED",'Business Setup'!F3)</f>
        <v>Insight-FULL Pizza</v>
      </c>
      <c r="C13" s="210"/>
      <c r="D13" s="210"/>
      <c r="E13" s="210"/>
      <c r="F13" s="210"/>
      <c r="G13" s="210"/>
      <c r="H13" s="210"/>
      <c r="I13" s="211"/>
    </row>
    <row r="14" spans="2:15" ht="16" x14ac:dyDescent="0.2">
      <c r="B14" s="212" t="str">
        <f>'(HIDE) Data Validation'!B41&amp;" Monthly Inventory Report"</f>
        <v>Garlic Bread Monthly Inventory Report</v>
      </c>
      <c r="C14" s="213"/>
      <c r="D14" s="213"/>
      <c r="E14" s="213"/>
      <c r="F14" s="213"/>
      <c r="G14" s="213"/>
      <c r="H14" s="213"/>
      <c r="I14" s="214"/>
    </row>
    <row r="15" spans="2:15" ht="16" customHeight="1" x14ac:dyDescent="0.2">
      <c r="B15" s="212" t="s">
        <v>348</v>
      </c>
      <c r="C15" s="213"/>
      <c r="D15" s="213"/>
      <c r="E15" s="213"/>
      <c r="F15" s="213"/>
      <c r="G15" s="213"/>
      <c r="H15" s="213"/>
      <c r="I15" s="214"/>
      <c r="K15" s="216" t="str">
        <f>IF('(HIDE) Data Validation'!B25=0,"","YOU HAVE NOT YET RAISED ENOUGH CAPITAL. YOU STILL NEED $"&amp;TEXT('(HIDE) Data Validation'!B25,"#,##0;;@"))</f>
        <v/>
      </c>
      <c r="L15" s="216"/>
      <c r="M15" s="216"/>
      <c r="N15" s="216"/>
      <c r="O15" s="216"/>
    </row>
    <row r="16" spans="2:15" ht="14.75" customHeight="1" x14ac:dyDescent="0.2">
      <c r="B16" s="113"/>
      <c r="C16" s="25" t="s">
        <v>120</v>
      </c>
      <c r="D16" s="25" t="s">
        <v>121</v>
      </c>
      <c r="E16" s="25" t="s">
        <v>122</v>
      </c>
      <c r="F16" s="25" t="s">
        <v>123</v>
      </c>
      <c r="G16" s="25" t="s">
        <v>124</v>
      </c>
      <c r="H16" s="25" t="s">
        <v>125</v>
      </c>
      <c r="I16" s="25" t="s">
        <v>230</v>
      </c>
      <c r="K16" s="216"/>
      <c r="L16" s="216"/>
      <c r="M16" s="216"/>
      <c r="N16" s="216"/>
      <c r="O16" s="216"/>
    </row>
    <row r="17" spans="2:15" ht="14.75" customHeight="1" x14ac:dyDescent="0.2">
      <c r="B17" s="115"/>
      <c r="C17" s="116" t="s">
        <v>40</v>
      </c>
      <c r="D17" s="116" t="s">
        <v>40</v>
      </c>
      <c r="E17" s="116" t="s">
        <v>40</v>
      </c>
      <c r="F17" s="116" t="s">
        <v>40</v>
      </c>
      <c r="G17" s="116" t="s">
        <v>40</v>
      </c>
      <c r="H17" s="116" t="s">
        <v>40</v>
      </c>
      <c r="I17" s="116" t="s">
        <v>40</v>
      </c>
      <c r="K17" s="216"/>
      <c r="L17" s="216"/>
      <c r="M17" s="216"/>
      <c r="N17" s="216"/>
      <c r="O17" s="216"/>
    </row>
    <row r="18" spans="2:15" ht="14.75" customHeight="1" x14ac:dyDescent="0.2">
      <c r="B18" s="112" t="s">
        <v>228</v>
      </c>
      <c r="C18" s="90">
        <v>0</v>
      </c>
      <c r="D18" s="90">
        <f>C21</f>
        <v>1100.6999999999998</v>
      </c>
      <c r="E18" s="90">
        <f>D21</f>
        <v>1259.6999999999998</v>
      </c>
      <c r="F18" s="90">
        <f>E21</f>
        <v>1181.3999999999996</v>
      </c>
      <c r="G18" s="90">
        <f>F21</f>
        <v>1210.8000000000002</v>
      </c>
      <c r="H18" s="90">
        <f>G21</f>
        <v>1481.3999999999996</v>
      </c>
      <c r="I18" s="91">
        <f>C18</f>
        <v>0</v>
      </c>
      <c r="K18" s="216"/>
      <c r="L18" s="216"/>
      <c r="M18" s="216"/>
      <c r="N18" s="216"/>
      <c r="O18" s="216"/>
    </row>
    <row r="19" spans="2:15" ht="14.75" customHeight="1" x14ac:dyDescent="0.2">
      <c r="B19" s="117" t="s">
        <v>226</v>
      </c>
      <c r="C19" s="97">
        <f>'(HIDE) Data Validation'!S39</f>
        <v>5282.7</v>
      </c>
      <c r="D19" s="97">
        <f>'(HIDE) Data Validation'!T39</f>
        <v>4561.8</v>
      </c>
      <c r="E19" s="97">
        <f>'(HIDE) Data Validation'!U39</f>
        <v>4960.5</v>
      </c>
      <c r="F19" s="97">
        <f>'(HIDE) Data Validation'!V39</f>
        <v>4755</v>
      </c>
      <c r="G19" s="97">
        <f>'(HIDE) Data Validation'!W39</f>
        <v>5113.7999999999993</v>
      </c>
      <c r="H19" s="97">
        <f>'(HIDE) Data Validation'!X39</f>
        <v>5946.2999999999993</v>
      </c>
      <c r="I19" s="98">
        <f>SUM(C19:H19)</f>
        <v>30620.1</v>
      </c>
      <c r="K19" s="216"/>
      <c r="L19" s="216"/>
      <c r="M19" s="216"/>
      <c r="N19" s="216"/>
      <c r="O19" s="216"/>
    </row>
    <row r="20" spans="2:15" x14ac:dyDescent="0.2">
      <c r="B20" s="112" t="s">
        <v>229</v>
      </c>
      <c r="C20" s="90">
        <f>'(HIDE) Data Validation'!S29</f>
        <v>4182</v>
      </c>
      <c r="D20" s="90">
        <f>'(HIDE) Data Validation'!T29</f>
        <v>4402.8</v>
      </c>
      <c r="E20" s="90">
        <f>'(HIDE) Data Validation'!U29</f>
        <v>5038.8</v>
      </c>
      <c r="F20" s="90">
        <f>'(HIDE) Data Validation'!V29</f>
        <v>4725.5999999999995</v>
      </c>
      <c r="G20" s="90">
        <f>'(HIDE) Data Validation'!W29</f>
        <v>4843.2</v>
      </c>
      <c r="H20" s="90">
        <f>'(HIDE) Data Validation'!X29</f>
        <v>5925.5999999999995</v>
      </c>
      <c r="I20" s="91">
        <f>SUM(C20:H20)</f>
        <v>29117.999999999996</v>
      </c>
      <c r="K20" s="216"/>
      <c r="L20" s="216"/>
      <c r="M20" s="216"/>
      <c r="N20" s="216"/>
      <c r="O20" s="216"/>
    </row>
    <row r="21" spans="2:15" x14ac:dyDescent="0.2">
      <c r="B21" s="117" t="s">
        <v>231</v>
      </c>
      <c r="C21" s="97">
        <f t="shared" ref="C21:H21" si="2">C18+C19-C20</f>
        <v>1100.6999999999998</v>
      </c>
      <c r="D21" s="97">
        <f t="shared" si="2"/>
        <v>1259.6999999999998</v>
      </c>
      <c r="E21" s="97">
        <f t="shared" si="2"/>
        <v>1181.3999999999996</v>
      </c>
      <c r="F21" s="97">
        <f t="shared" si="2"/>
        <v>1210.8000000000002</v>
      </c>
      <c r="G21" s="97">
        <f t="shared" si="2"/>
        <v>1481.3999999999996</v>
      </c>
      <c r="H21" s="97">
        <f t="shared" si="2"/>
        <v>1502.0999999999995</v>
      </c>
      <c r="I21" s="98">
        <f>H21</f>
        <v>1502.0999999999995</v>
      </c>
      <c r="K21" s="216"/>
      <c r="L21" s="216"/>
      <c r="M21" s="216"/>
      <c r="N21" s="216"/>
      <c r="O21" s="216"/>
    </row>
    <row r="22" spans="2:15" x14ac:dyDescent="0.2">
      <c r="B22" s="93"/>
      <c r="C22" s="93"/>
      <c r="D22" s="93"/>
      <c r="E22" s="93"/>
      <c r="F22" s="93"/>
      <c r="G22" s="93"/>
      <c r="H22" s="93"/>
      <c r="I22" s="93"/>
    </row>
    <row r="23" spans="2:15" ht="19" x14ac:dyDescent="0.25">
      <c r="F23" s="215" t="str">
        <f>"Average "&amp;'(HIDE) Data Validation'!B41&amp;" Inventory"</f>
        <v>Average Garlic Bread Inventory</v>
      </c>
      <c r="G23" s="215"/>
      <c r="H23" s="215"/>
      <c r="I23" s="118">
        <f>ROUND(AVERAGE(C21:H21),2)</f>
        <v>1289.3499999999999</v>
      </c>
    </row>
    <row r="25" spans="2:15" ht="16" x14ac:dyDescent="0.2">
      <c r="B25" s="209" t="str">
        <f>IF('Business Setup'!F3="","UNNAMED",'Business Setup'!F3)</f>
        <v>Insight-FULL Pizza</v>
      </c>
      <c r="C25" s="210"/>
      <c r="D25" s="210"/>
      <c r="E25" s="210"/>
      <c r="F25" s="210"/>
      <c r="G25" s="210"/>
      <c r="H25" s="210"/>
      <c r="I25" s="210"/>
      <c r="J25" s="210"/>
      <c r="K25" s="210"/>
      <c r="L25" s="210"/>
      <c r="M25" s="210"/>
      <c r="N25" s="210"/>
      <c r="O25" s="211"/>
    </row>
    <row r="26" spans="2:15" ht="16" x14ac:dyDescent="0.2">
      <c r="B26" s="212" t="s">
        <v>246</v>
      </c>
      <c r="C26" s="213"/>
      <c r="D26" s="213"/>
      <c r="E26" s="213"/>
      <c r="F26" s="213"/>
      <c r="G26" s="213"/>
      <c r="H26" s="213"/>
      <c r="I26" s="213"/>
      <c r="J26" s="213"/>
      <c r="K26" s="213"/>
      <c r="L26" s="213"/>
      <c r="M26" s="213"/>
      <c r="N26" s="213"/>
      <c r="O26" s="214"/>
    </row>
    <row r="27" spans="2:15" ht="16" x14ac:dyDescent="0.2">
      <c r="B27" s="212" t="s">
        <v>348</v>
      </c>
      <c r="C27" s="213"/>
      <c r="D27" s="213"/>
      <c r="E27" s="213"/>
      <c r="F27" s="213"/>
      <c r="G27" s="213"/>
      <c r="H27" s="213"/>
      <c r="I27" s="213"/>
      <c r="J27" s="213"/>
      <c r="K27" s="213"/>
      <c r="L27" s="213"/>
      <c r="M27" s="213"/>
      <c r="N27" s="213"/>
      <c r="O27" s="214"/>
    </row>
    <row r="28" spans="2:15" x14ac:dyDescent="0.2">
      <c r="B28" s="113"/>
      <c r="C28" s="25" t="s">
        <v>114</v>
      </c>
      <c r="D28" s="25" t="s">
        <v>115</v>
      </c>
      <c r="E28" s="25" t="s">
        <v>116</v>
      </c>
      <c r="F28" s="25" t="s">
        <v>118</v>
      </c>
      <c r="G28" s="25" t="s">
        <v>5</v>
      </c>
      <c r="H28" s="25" t="s">
        <v>119</v>
      </c>
      <c r="I28" s="25" t="s">
        <v>120</v>
      </c>
      <c r="J28" s="25" t="s">
        <v>121</v>
      </c>
      <c r="K28" s="25" t="s">
        <v>122</v>
      </c>
      <c r="L28" s="25" t="s">
        <v>123</v>
      </c>
      <c r="M28" s="25" t="s">
        <v>124</v>
      </c>
      <c r="N28" s="25" t="s">
        <v>125</v>
      </c>
      <c r="O28" s="25" t="s">
        <v>230</v>
      </c>
    </row>
    <row r="29" spans="2:15" x14ac:dyDescent="0.2">
      <c r="B29" s="115"/>
      <c r="C29" s="116" t="s">
        <v>40</v>
      </c>
      <c r="D29" s="116" t="s">
        <v>40</v>
      </c>
      <c r="E29" s="116" t="s">
        <v>40</v>
      </c>
      <c r="F29" s="116" t="s">
        <v>40</v>
      </c>
      <c r="G29" s="116" t="s">
        <v>40</v>
      </c>
      <c r="H29" s="116" t="s">
        <v>40</v>
      </c>
      <c r="I29" s="116" t="s">
        <v>40</v>
      </c>
      <c r="J29" s="116" t="s">
        <v>40</v>
      </c>
      <c r="K29" s="116" t="s">
        <v>40</v>
      </c>
      <c r="L29" s="116" t="s">
        <v>40</v>
      </c>
      <c r="M29" s="116" t="s">
        <v>40</v>
      </c>
      <c r="N29" s="116" t="s">
        <v>40</v>
      </c>
      <c r="O29" s="116" t="s">
        <v>40</v>
      </c>
    </row>
    <row r="30" spans="2:15" x14ac:dyDescent="0.2">
      <c r="B30" s="112" t="s">
        <v>228</v>
      </c>
      <c r="C30" s="90">
        <v>0</v>
      </c>
      <c r="D30" s="90">
        <f t="shared" ref="D30:N30" si="3">C33</f>
        <v>6266.3212500000009</v>
      </c>
      <c r="E30" s="90">
        <f t="shared" si="3"/>
        <v>7486.1205000000009</v>
      </c>
      <c r="F30" s="90">
        <f t="shared" si="3"/>
        <v>9381.9127500000031</v>
      </c>
      <c r="G30" s="90">
        <f t="shared" si="3"/>
        <v>10108.10325</v>
      </c>
      <c r="H30" s="90">
        <f t="shared" si="3"/>
        <v>12164.527499999997</v>
      </c>
      <c r="I30" s="90">
        <f t="shared" si="3"/>
        <v>11829.877500000002</v>
      </c>
      <c r="J30" s="90">
        <f t="shared" si="3"/>
        <v>13553.0265</v>
      </c>
      <c r="K30" s="90">
        <f t="shared" si="3"/>
        <v>15514.116750000008</v>
      </c>
      <c r="L30" s="90">
        <f t="shared" si="3"/>
        <v>14548.994250000003</v>
      </c>
      <c r="M30" s="90">
        <f t="shared" si="3"/>
        <v>14909.697750000007</v>
      </c>
      <c r="N30" s="90">
        <f t="shared" si="3"/>
        <v>18242.345250000006</v>
      </c>
      <c r="O30" s="91">
        <f>C30</f>
        <v>0</v>
      </c>
    </row>
    <row r="31" spans="2:15" x14ac:dyDescent="0.2">
      <c r="B31" s="117" t="s">
        <v>226</v>
      </c>
      <c r="C31" s="97">
        <f>'2019 Full Year Cash Budget'!C17</f>
        <v>23005.514250000004</v>
      </c>
      <c r="D31" s="97">
        <f>'2019 Full Year Cash Budget'!D17</f>
        <v>26285.084250000004</v>
      </c>
      <c r="E31" s="97">
        <f>'2019 Full Year Cash Budget'!E17</f>
        <v>31840.274250000002</v>
      </c>
      <c r="F31" s="97">
        <f>'2019 Full Year Cash Budget'!F17</f>
        <v>38253.841500000002</v>
      </c>
      <c r="G31" s="97">
        <f>'2019 Full Year Cash Budget'!G17</f>
        <v>42488.837249999997</v>
      </c>
      <c r="H31" s="97">
        <f>'2019 Full Year Cash Budget'!H17</f>
        <v>48323.460000000006</v>
      </c>
      <c r="I31" s="97">
        <f>'2019 Full Year Cash Budget'!I17+'(HIDE) Data Validation'!S39</f>
        <v>53224.659</v>
      </c>
      <c r="J31" s="97">
        <f>'2019 Full Year Cash Budget'!J17+'(HIDE) Data Validation'!T39</f>
        <v>56173.196250000008</v>
      </c>
      <c r="K31" s="97">
        <f>'2019 Full Year Cash Budget'!K17+'(HIDE) Data Validation'!U39</f>
        <v>61091.344499999999</v>
      </c>
      <c r="L31" s="97">
        <f>'2019 Full Year Cash Budget'!L17+'(HIDE) Data Validation'!V39</f>
        <v>58556.680500000002</v>
      </c>
      <c r="M31" s="97">
        <f>'2019 Full Year Cash Budget'!M17+'(HIDE) Data Validation'!W39</f>
        <v>62971.438500000004</v>
      </c>
      <c r="N31" s="97">
        <f>'2019 Full Year Cash Budget'!N17+'(HIDE) Data Validation'!X39</f>
        <v>73226.009250000003</v>
      </c>
      <c r="O31" s="98">
        <f>SUM(C31:N31)</f>
        <v>575440.3395</v>
      </c>
    </row>
    <row r="32" spans="2:15" x14ac:dyDescent="0.2">
      <c r="B32" s="112" t="s">
        <v>229</v>
      </c>
      <c r="C32" s="90">
        <f>'(HIDE) Data Validation'!M17</f>
        <v>16739.193000000003</v>
      </c>
      <c r="D32" s="90">
        <f>'(HIDE) Data Validation'!N17</f>
        <v>25065.285000000003</v>
      </c>
      <c r="E32" s="90">
        <f>'(HIDE) Data Validation'!O17</f>
        <v>29944.482000000004</v>
      </c>
      <c r="F32" s="90">
        <f>'(HIDE) Data Validation'!P17</f>
        <v>37527.651000000005</v>
      </c>
      <c r="G32" s="90">
        <f>'(HIDE) Data Validation'!Q17</f>
        <v>40432.413</v>
      </c>
      <c r="H32" s="90">
        <f>'(HIDE) Data Validation'!R17</f>
        <v>48658.11</v>
      </c>
      <c r="I32" s="90">
        <f>'(HIDE) Data Validation'!S17+'(HIDE) Data Validation'!S29</f>
        <v>51501.51</v>
      </c>
      <c r="J32" s="90">
        <f>'(HIDE) Data Validation'!T17+'(HIDE) Data Validation'!T29</f>
        <v>54212.106000000007</v>
      </c>
      <c r="K32" s="90">
        <f>'(HIDE) Data Validation'!U17+'(HIDE) Data Validation'!U29</f>
        <v>62056.467000000004</v>
      </c>
      <c r="L32" s="90">
        <f>'(HIDE) Data Validation'!V17+'(HIDE) Data Validation'!V29</f>
        <v>58195.976999999999</v>
      </c>
      <c r="M32" s="90">
        <f>'(HIDE) Data Validation'!W17+'(HIDE) Data Validation'!W29</f>
        <v>59638.791000000005</v>
      </c>
      <c r="N32" s="90">
        <f>'(HIDE) Data Validation'!X17+'(HIDE) Data Validation'!X29</f>
        <v>72969.381000000008</v>
      </c>
      <c r="O32" s="91">
        <f>SUM(C32:N32)</f>
        <v>556941.36600000015</v>
      </c>
    </row>
    <row r="33" spans="1:15" x14ac:dyDescent="0.2">
      <c r="B33" s="117" t="s">
        <v>231</v>
      </c>
      <c r="C33" s="97">
        <f>C30+C31-C32</f>
        <v>6266.3212500000009</v>
      </c>
      <c r="D33" s="97">
        <f t="shared" ref="D33:N33" si="4">D30+D31-D32</f>
        <v>7486.1205000000009</v>
      </c>
      <c r="E33" s="97">
        <f t="shared" si="4"/>
        <v>9381.9127500000031</v>
      </c>
      <c r="F33" s="97">
        <f t="shared" si="4"/>
        <v>10108.10325</v>
      </c>
      <c r="G33" s="97">
        <f t="shared" si="4"/>
        <v>12164.527499999997</v>
      </c>
      <c r="H33" s="97">
        <f t="shared" si="4"/>
        <v>11829.877500000002</v>
      </c>
      <c r="I33" s="97">
        <f t="shared" si="4"/>
        <v>13553.0265</v>
      </c>
      <c r="J33" s="97">
        <f t="shared" si="4"/>
        <v>15514.116750000008</v>
      </c>
      <c r="K33" s="97">
        <f t="shared" si="4"/>
        <v>14548.994250000003</v>
      </c>
      <c r="L33" s="97">
        <f t="shared" si="4"/>
        <v>14909.697750000007</v>
      </c>
      <c r="M33" s="97">
        <f t="shared" si="4"/>
        <v>18242.345250000006</v>
      </c>
      <c r="N33" s="97">
        <f t="shared" si="4"/>
        <v>18498.973500000007</v>
      </c>
      <c r="O33" s="98">
        <f>N33</f>
        <v>18498.973500000007</v>
      </c>
    </row>
    <row r="34" spans="1:15" x14ac:dyDescent="0.2">
      <c r="B34" s="93"/>
      <c r="C34" s="93"/>
      <c r="D34" s="93"/>
      <c r="E34" s="93"/>
      <c r="F34" s="93"/>
      <c r="G34" s="93"/>
      <c r="H34" s="93"/>
      <c r="I34" s="93"/>
      <c r="J34" s="93"/>
      <c r="K34" s="93"/>
      <c r="L34" s="93"/>
      <c r="M34" s="93"/>
      <c r="N34" s="93"/>
      <c r="O34" s="93"/>
    </row>
    <row r="35" spans="1:15" ht="19" x14ac:dyDescent="0.25">
      <c r="L35" s="215" t="s">
        <v>340</v>
      </c>
      <c r="M35" s="215"/>
      <c r="N35" s="215"/>
      <c r="O35" s="118">
        <f>ROUND(AVERAGE(C33:N33),2)</f>
        <v>12708.67</v>
      </c>
    </row>
    <row r="38" spans="1:15" x14ac:dyDescent="0.2">
      <c r="G38" s="154"/>
    </row>
    <row r="48" spans="1:15" ht="16" x14ac:dyDescent="0.2">
      <c r="A48" s="166"/>
    </row>
    <row r="49" spans="1:1" ht="16" x14ac:dyDescent="0.2">
      <c r="A49" s="166"/>
    </row>
    <row r="50" spans="1:1" ht="16" x14ac:dyDescent="0.2">
      <c r="A50" s="166"/>
    </row>
    <row r="51" spans="1:1" ht="16" x14ac:dyDescent="0.2">
      <c r="A51" s="166"/>
    </row>
    <row r="52" spans="1:1" s="168" customFormat="1" ht="16" x14ac:dyDescent="0.2">
      <c r="A52" s="167"/>
    </row>
    <row r="53" spans="1:1" ht="16" x14ac:dyDescent="0.2">
      <c r="A53" s="166"/>
    </row>
    <row r="54" spans="1:1" ht="16" x14ac:dyDescent="0.2">
      <c r="A54" s="166"/>
    </row>
    <row r="55" spans="1:1" ht="16" x14ac:dyDescent="0.2">
      <c r="A55" s="166"/>
    </row>
  </sheetData>
  <sheetProtection algorithmName="SHA-512" hashValue="5ela4q2WwoXAecdCw+Q7NaXUVxfPnCfNubYtPrxdidQanhVG9IqZ6SOwrqQpWb/1Bw4aYg5fZFlDoUGKCIjycg==" saltValue="CcxcKTXdKcwF3ugbMo5Rog==" spinCount="100000" sheet="1" formatColumns="0" formatRows="0" selectLockedCells="1"/>
  <mergeCells count="13">
    <mergeCell ref="L35:N35"/>
    <mergeCell ref="B15:I15"/>
    <mergeCell ref="B25:O25"/>
    <mergeCell ref="B26:O26"/>
    <mergeCell ref="B27:O27"/>
    <mergeCell ref="F23:H23"/>
    <mergeCell ref="K15:O21"/>
    <mergeCell ref="B2:O2"/>
    <mergeCell ref="B3:O3"/>
    <mergeCell ref="B4:O4"/>
    <mergeCell ref="B13:I13"/>
    <mergeCell ref="B14:I14"/>
    <mergeCell ref="L12:N12"/>
  </mergeCells>
  <pageMargins left="0.7" right="0.7" top="0.75" bottom="0.75" header="0.3" footer="0.3"/>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2:O42"/>
  <sheetViews>
    <sheetView zoomScale="90" zoomScaleNormal="90" workbookViewId="0">
      <selection activeCell="I4" sqref="I4"/>
    </sheetView>
  </sheetViews>
  <sheetFormatPr baseColWidth="10" defaultColWidth="8.83203125" defaultRowHeight="15" x14ac:dyDescent="0.2"/>
  <cols>
    <col min="1" max="1" width="8" style="1" customWidth="1"/>
    <col min="2" max="2" width="37.83203125" style="1" customWidth="1"/>
    <col min="3" max="3" width="7.5" style="1" customWidth="1"/>
    <col min="4" max="4" width="15.1640625" style="1" customWidth="1"/>
    <col min="5" max="5" width="6.1640625" style="1" customWidth="1"/>
    <col min="6" max="6" width="17.5" style="1" customWidth="1"/>
    <col min="7" max="16384" width="8.83203125" style="1"/>
  </cols>
  <sheetData>
    <row r="2" spans="2:15" ht="19" x14ac:dyDescent="0.25">
      <c r="B2" s="217" t="str">
        <f>IF('Business Setup'!F3="","UNNAMED",'Business Setup'!F3)</f>
        <v>Insight-FULL Pizza</v>
      </c>
      <c r="C2" s="218"/>
      <c r="D2" s="218"/>
      <c r="E2" s="218"/>
      <c r="F2" s="219"/>
    </row>
    <row r="3" spans="2:15" ht="19" x14ac:dyDescent="0.25">
      <c r="B3" s="220" t="s">
        <v>30</v>
      </c>
      <c r="C3" s="204"/>
      <c r="D3" s="204"/>
      <c r="E3" s="204"/>
      <c r="F3" s="221"/>
    </row>
    <row r="4" spans="2:15" ht="19" x14ac:dyDescent="0.25">
      <c r="B4" s="220" t="s">
        <v>348</v>
      </c>
      <c r="C4" s="204"/>
      <c r="D4" s="204"/>
      <c r="E4" s="204"/>
      <c r="F4" s="221"/>
      <c r="I4" s="154"/>
    </row>
    <row r="5" spans="2:15" ht="12.75" customHeight="1" x14ac:dyDescent="0.25">
      <c r="B5" s="33"/>
      <c r="C5" s="34"/>
      <c r="D5" s="34"/>
      <c r="E5" s="34"/>
      <c r="F5" s="35"/>
    </row>
    <row r="6" spans="2:15" x14ac:dyDescent="0.2">
      <c r="B6" s="119"/>
      <c r="C6" s="121"/>
      <c r="D6" s="121" t="s">
        <v>40</v>
      </c>
      <c r="E6" s="121"/>
      <c r="F6" s="130" t="s">
        <v>40</v>
      </c>
    </row>
    <row r="7" spans="2:15" ht="16" x14ac:dyDescent="0.2">
      <c r="B7" s="26" t="s">
        <v>31</v>
      </c>
      <c r="C7" s="29"/>
      <c r="F7" s="27"/>
    </row>
    <row r="8" spans="2:15" x14ac:dyDescent="0.2">
      <c r="B8" s="123" t="s">
        <v>336</v>
      </c>
      <c r="C8" s="134"/>
      <c r="D8" s="124">
        <f>SUM('2019 Full Year Cash Budget'!O9:O12)+'(HIDE) Data Validation'!Y42+'(HIDE) Data Validation'!Y44</f>
        <v>1595437.9999999998</v>
      </c>
      <c r="E8" s="124"/>
      <c r="F8" s="125"/>
    </row>
    <row r="9" spans="2:15" x14ac:dyDescent="0.2">
      <c r="B9" s="28" t="s">
        <v>337</v>
      </c>
      <c r="C9" s="114"/>
      <c r="D9" s="32">
        <f>'2019 Full Year Cash Budget'!O19</f>
        <v>6090</v>
      </c>
      <c r="E9" s="32"/>
      <c r="F9" s="37"/>
    </row>
    <row r="10" spans="2:15" ht="16" x14ac:dyDescent="0.2">
      <c r="B10" s="126" t="s">
        <v>339</v>
      </c>
      <c r="C10" s="135"/>
      <c r="D10" s="124"/>
      <c r="E10" s="124"/>
      <c r="F10" s="127">
        <f>D8-D9</f>
        <v>1589347.9999999998</v>
      </c>
    </row>
    <row r="11" spans="2:15" x14ac:dyDescent="0.2">
      <c r="B11" s="28" t="s">
        <v>222</v>
      </c>
      <c r="C11" s="114"/>
      <c r="D11" s="32">
        <f>'(HIDE) Data Validation'!Y19+'(HIDE) Data Validation'!Y40</f>
        <v>556941.36600000004</v>
      </c>
      <c r="E11" s="32"/>
      <c r="F11" s="37"/>
    </row>
    <row r="12" spans="2:15" ht="16" x14ac:dyDescent="0.2">
      <c r="B12" s="126" t="s">
        <v>32</v>
      </c>
      <c r="C12" s="135"/>
      <c r="D12" s="128"/>
      <c r="E12" s="128"/>
      <c r="F12" s="127">
        <f>F10-D11</f>
        <v>1032406.6339999997</v>
      </c>
    </row>
    <row r="13" spans="2:15" ht="16" x14ac:dyDescent="0.2">
      <c r="B13" s="26"/>
      <c r="C13" s="29"/>
      <c r="D13" s="94"/>
      <c r="E13" s="94"/>
      <c r="F13" s="39"/>
    </row>
    <row r="14" spans="2:15" ht="16" customHeight="1" x14ac:dyDescent="0.2">
      <c r="B14" s="126" t="s">
        <v>33</v>
      </c>
      <c r="C14" s="135"/>
      <c r="D14" s="124"/>
      <c r="E14" s="124"/>
      <c r="F14" s="125"/>
      <c r="H14" s="222"/>
      <c r="I14" s="222"/>
      <c r="J14" s="222"/>
      <c r="K14" s="222"/>
      <c r="L14" s="222"/>
      <c r="M14" s="222"/>
      <c r="N14" s="222"/>
      <c r="O14" s="222"/>
    </row>
    <row r="15" spans="2:15" ht="14.75" customHeight="1" x14ac:dyDescent="0.2">
      <c r="B15" s="28" t="s">
        <v>179</v>
      </c>
      <c r="C15" s="114"/>
      <c r="D15" s="32">
        <f>'2019 Full Year Cash Budget'!C16</f>
        <v>120000</v>
      </c>
      <c r="E15" s="32"/>
      <c r="F15" s="37"/>
      <c r="H15" s="222"/>
      <c r="I15" s="222"/>
      <c r="J15" s="222"/>
      <c r="K15" s="222"/>
      <c r="L15" s="222"/>
      <c r="M15" s="222"/>
      <c r="N15" s="222"/>
      <c r="O15" s="222"/>
    </row>
    <row r="16" spans="2:15" ht="14.75" customHeight="1" x14ac:dyDescent="0.2">
      <c r="B16" s="123" t="s">
        <v>17</v>
      </c>
      <c r="C16" s="134"/>
      <c r="D16" s="124">
        <f>'2019 Full Year Cash Budget'!O20</f>
        <v>84000</v>
      </c>
      <c r="E16" s="124"/>
      <c r="F16" s="125"/>
      <c r="H16" s="222"/>
      <c r="I16" s="222"/>
      <c r="J16" s="222"/>
      <c r="K16" s="222"/>
      <c r="L16" s="222"/>
      <c r="M16" s="222"/>
      <c r="N16" s="222"/>
      <c r="O16" s="222"/>
    </row>
    <row r="17" spans="2:15" x14ac:dyDescent="0.2">
      <c r="B17" s="28" t="s">
        <v>18</v>
      </c>
      <c r="C17" s="114"/>
      <c r="D17" s="32">
        <f>'2019 Full Year Cash Budget'!O21+'(HIDE) Data Validation'!Y23</f>
        <v>29600</v>
      </c>
      <c r="E17" s="32"/>
      <c r="F17" s="37"/>
      <c r="H17" s="222"/>
      <c r="I17" s="222"/>
      <c r="J17" s="222"/>
      <c r="K17" s="222"/>
      <c r="L17" s="222"/>
      <c r="M17" s="222"/>
      <c r="N17" s="222"/>
      <c r="O17" s="222"/>
    </row>
    <row r="18" spans="2:15" x14ac:dyDescent="0.2">
      <c r="B18" s="123" t="s">
        <v>19</v>
      </c>
      <c r="C18" s="134"/>
      <c r="D18" s="124">
        <f>'2019 Full Year Cash Budget'!O22</f>
        <v>3600</v>
      </c>
      <c r="E18" s="124"/>
      <c r="F18" s="125"/>
    </row>
    <row r="19" spans="2:15" x14ac:dyDescent="0.2">
      <c r="B19" s="28" t="s">
        <v>29</v>
      </c>
      <c r="C19" s="114"/>
      <c r="D19" s="32">
        <f>'2019 Full Year Cash Budget'!O23</f>
        <v>60000</v>
      </c>
      <c r="E19" s="32"/>
      <c r="F19" s="37"/>
    </row>
    <row r="20" spans="2:15" x14ac:dyDescent="0.2">
      <c r="B20" s="123" t="s">
        <v>34</v>
      </c>
      <c r="C20" s="134"/>
      <c r="D20" s="124">
        <f>'2019 Full Year Cash Budget'!O24</f>
        <v>81600</v>
      </c>
      <c r="E20" s="124"/>
      <c r="F20" s="125"/>
    </row>
    <row r="21" spans="2:15" x14ac:dyDescent="0.2">
      <c r="B21" s="28" t="s">
        <v>35</v>
      </c>
      <c r="C21" s="114"/>
      <c r="D21" s="32">
        <f>'2019 Full Year Cash Budget'!O25</f>
        <v>256000</v>
      </c>
      <c r="E21" s="32"/>
      <c r="F21" s="37"/>
    </row>
    <row r="22" spans="2:15" x14ac:dyDescent="0.2">
      <c r="B22" s="123" t="s">
        <v>36</v>
      </c>
      <c r="C22" s="134"/>
      <c r="D22" s="124">
        <f>'(HIDE) Data Validation'!B23</f>
        <v>7100</v>
      </c>
      <c r="E22" s="124"/>
      <c r="F22" s="129"/>
    </row>
    <row r="23" spans="2:15" x14ac:dyDescent="0.2">
      <c r="B23" s="28" t="s">
        <v>37</v>
      </c>
      <c r="C23" s="114"/>
      <c r="D23" s="32">
        <f>IF('(HIDE) Data Validation'!J46=2,'(HIDE) Data Validation'!Y37+'(HIDE) Data Validation'!Y60,'(HIDE) Data Validation'!Y37)</f>
        <v>9743.1372549019616</v>
      </c>
      <c r="E23" s="32"/>
      <c r="F23" s="95"/>
    </row>
    <row r="24" spans="2:15" x14ac:dyDescent="0.2">
      <c r="B24" s="123" t="s">
        <v>180</v>
      </c>
      <c r="C24" s="134"/>
      <c r="D24" s="124">
        <f>'2019 Full Year Cash Budget'!O28</f>
        <v>0</v>
      </c>
      <c r="E24" s="124"/>
      <c r="F24" s="129"/>
    </row>
    <row r="25" spans="2:15" x14ac:dyDescent="0.2">
      <c r="B25" s="28" t="str">
        <f>IF('(HIDE) Data Validation'!J46=2,"",'(HIDE) Data Validation'!J53)</f>
        <v>Delivery App Usage Expenses</v>
      </c>
      <c r="C25" s="114"/>
      <c r="D25" s="32">
        <f>IF('(HIDE) Data Validation'!J46=2,"",'2019 Full Year Cash Budget'!O29)</f>
        <v>76132.150000000009</v>
      </c>
      <c r="E25" s="32"/>
      <c r="F25" s="95"/>
    </row>
    <row r="26" spans="2:15" ht="16" x14ac:dyDescent="0.2">
      <c r="B26" s="99" t="s">
        <v>38</v>
      </c>
      <c r="C26" s="136"/>
      <c r="D26" s="128"/>
      <c r="E26" s="128"/>
      <c r="F26" s="127">
        <f>SUM(D15:D25)</f>
        <v>727775.28725490195</v>
      </c>
    </row>
    <row r="27" spans="2:15" x14ac:dyDescent="0.2">
      <c r="B27" s="22"/>
      <c r="C27" s="14"/>
      <c r="D27" s="32"/>
      <c r="E27" s="32"/>
      <c r="F27" s="37"/>
    </row>
    <row r="28" spans="2:15" ht="16" x14ac:dyDescent="0.2">
      <c r="B28" s="99" t="s">
        <v>39</v>
      </c>
      <c r="C28" s="136"/>
      <c r="D28" s="128"/>
      <c r="E28" s="128"/>
      <c r="F28" s="127">
        <f>F12-F26</f>
        <v>304631.34674509778</v>
      </c>
    </row>
    <row r="29" spans="2:15" x14ac:dyDescent="0.2">
      <c r="B29" s="9"/>
      <c r="D29" s="32"/>
      <c r="E29" s="32"/>
      <c r="F29" s="37"/>
    </row>
    <row r="30" spans="2:15" x14ac:dyDescent="0.2">
      <c r="B30" s="108" t="s">
        <v>182</v>
      </c>
      <c r="C30" s="137"/>
      <c r="D30" s="124"/>
      <c r="E30" s="124"/>
      <c r="F30" s="125">
        <f>F28/100*'(HIDE) Data Validation'!B22</f>
        <v>0</v>
      </c>
    </row>
    <row r="31" spans="2:15" x14ac:dyDescent="0.2">
      <c r="B31" s="9" t="s">
        <v>183</v>
      </c>
      <c r="D31" s="32"/>
      <c r="E31" s="32"/>
      <c r="F31" s="37">
        <f>F28-F30</f>
        <v>304631.34674509778</v>
      </c>
    </row>
    <row r="32" spans="2:15" x14ac:dyDescent="0.2">
      <c r="B32" s="9"/>
      <c r="F32" s="27"/>
    </row>
    <row r="33" spans="1:6" x14ac:dyDescent="0.2">
      <c r="B33" s="23"/>
      <c r="C33" s="30"/>
      <c r="D33" s="30"/>
      <c r="E33" s="30"/>
      <c r="F33" s="31"/>
    </row>
    <row r="35" spans="1:6" ht="16" x14ac:dyDescent="0.2">
      <c r="A35" s="166"/>
    </row>
    <row r="36" spans="1:6" ht="16" x14ac:dyDescent="0.2">
      <c r="A36" s="166"/>
    </row>
    <row r="37" spans="1:6" ht="16" x14ac:dyDescent="0.2">
      <c r="A37" s="166"/>
    </row>
    <row r="38" spans="1:6" ht="16" x14ac:dyDescent="0.2">
      <c r="A38" s="166"/>
    </row>
    <row r="39" spans="1:6" s="168" customFormat="1" ht="16" x14ac:dyDescent="0.2">
      <c r="A39" s="167"/>
    </row>
    <row r="40" spans="1:6" ht="16" x14ac:dyDescent="0.2">
      <c r="A40" s="166"/>
    </row>
    <row r="41" spans="1:6" ht="16" x14ac:dyDescent="0.2">
      <c r="A41" s="166"/>
    </row>
    <row r="42" spans="1:6" ht="16" x14ac:dyDescent="0.2">
      <c r="A42" s="166"/>
    </row>
  </sheetData>
  <sheetProtection algorithmName="SHA-512" hashValue="XzLM5dY7wg3e2QGyicmLuramNgkCnqHphC5EwYcHeLDeYbJxTtqRWL5k0GK3bcK9dBzN2fL29A2DljQfna5vPg==" saltValue="BjfuYw6UwALc2kWnpcK6ew==" spinCount="100000" sheet="1" formatColumns="0" formatRows="0" selectLockedCells="1"/>
  <mergeCells count="4">
    <mergeCell ref="B2:F2"/>
    <mergeCell ref="B4:F4"/>
    <mergeCell ref="B3:F3"/>
    <mergeCell ref="H14:O17"/>
  </mergeCells>
  <pageMargins left="0.7" right="0.7" top="0.75" bottom="0.75" header="0.3" footer="0.3"/>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2:M49"/>
  <sheetViews>
    <sheetView view="pageBreakPreview" zoomScale="60" zoomScaleNormal="80" workbookViewId="0">
      <selection activeCell="G6" sqref="G6"/>
    </sheetView>
  </sheetViews>
  <sheetFormatPr baseColWidth="10" defaultColWidth="8.83203125" defaultRowHeight="15" x14ac:dyDescent="0.2"/>
  <cols>
    <col min="1" max="1" width="8.83203125" style="1"/>
    <col min="2" max="2" width="43.83203125" style="1" customWidth="1"/>
    <col min="3" max="3" width="14.1640625" style="1" customWidth="1"/>
    <col min="4" max="4" width="7.83203125" style="1" customWidth="1"/>
    <col min="5" max="5" width="15.1640625" style="1" customWidth="1"/>
    <col min="6" max="6" width="8.83203125" style="1"/>
    <col min="7" max="7" width="11.5" style="1" bestFit="1" customWidth="1"/>
    <col min="8" max="8" width="11" style="1" bestFit="1" customWidth="1"/>
    <col min="9" max="16384" width="8.83203125" style="1"/>
  </cols>
  <sheetData>
    <row r="2" spans="2:13" ht="19" x14ac:dyDescent="0.25">
      <c r="B2" s="217" t="str">
        <f>IF('Business Setup'!F3="","UNNAMED",'Business Setup'!F3)</f>
        <v>Insight-FULL Pizza</v>
      </c>
      <c r="C2" s="218"/>
      <c r="D2" s="218"/>
      <c r="E2" s="219"/>
    </row>
    <row r="3" spans="2:13" ht="19" x14ac:dyDescent="0.25">
      <c r="B3" s="220" t="s">
        <v>41</v>
      </c>
      <c r="C3" s="204"/>
      <c r="D3" s="204"/>
      <c r="E3" s="221"/>
    </row>
    <row r="4" spans="2:13" ht="19" x14ac:dyDescent="0.25">
      <c r="B4" s="220" t="s">
        <v>348</v>
      </c>
      <c r="C4" s="204"/>
      <c r="D4" s="204"/>
      <c r="E4" s="221"/>
    </row>
    <row r="5" spans="2:13" ht="19" x14ac:dyDescent="0.25">
      <c r="B5" s="33"/>
      <c r="C5" s="34"/>
      <c r="D5" s="34"/>
      <c r="E5" s="35"/>
    </row>
    <row r="6" spans="2:13" ht="16" x14ac:dyDescent="0.2">
      <c r="B6" s="126" t="s">
        <v>42</v>
      </c>
      <c r="C6" s="120" t="s">
        <v>40</v>
      </c>
      <c r="D6" s="120"/>
      <c r="E6" s="122" t="s">
        <v>40</v>
      </c>
      <c r="G6" s="154"/>
    </row>
    <row r="7" spans="2:13" x14ac:dyDescent="0.2">
      <c r="B7" s="65" t="s">
        <v>43</v>
      </c>
      <c r="C7" s="32"/>
      <c r="D7" s="32"/>
      <c r="E7" s="37"/>
    </row>
    <row r="8" spans="2:13" x14ac:dyDescent="0.2">
      <c r="B8" s="123" t="s">
        <v>57</v>
      </c>
      <c r="C8" s="124">
        <f>'2019 Full Year Cash Budget'!O36</f>
        <v>337796.3704999999</v>
      </c>
      <c r="D8" s="124"/>
      <c r="E8" s="125"/>
    </row>
    <row r="9" spans="2:13" x14ac:dyDescent="0.2">
      <c r="B9" s="28" t="s">
        <v>245</v>
      </c>
      <c r="C9" s="32">
        <f>'(HIDE) Data Validation'!Y42+'(HIDE) Data Validation'!Y44</f>
        <v>63022.5</v>
      </c>
      <c r="D9" s="32"/>
      <c r="E9" s="37"/>
    </row>
    <row r="10" spans="2:13" x14ac:dyDescent="0.2">
      <c r="B10" s="123" t="s">
        <v>58</v>
      </c>
      <c r="C10" s="124">
        <f>'(HIDE) Data Validation'!Y18+'(HIDE) Data Validation'!Y39</f>
        <v>18498.9735</v>
      </c>
      <c r="D10" s="124"/>
      <c r="E10" s="125"/>
      <c r="G10" s="32"/>
    </row>
    <row r="11" spans="2:13" x14ac:dyDescent="0.2">
      <c r="B11" s="65" t="s">
        <v>44</v>
      </c>
      <c r="C11" s="32"/>
      <c r="D11" s="32"/>
      <c r="E11" s="37">
        <f>SUM(C8:C10)</f>
        <v>419317.84399999992</v>
      </c>
    </row>
    <row r="12" spans="2:13" x14ac:dyDescent="0.2">
      <c r="B12" s="131"/>
      <c r="C12" s="124"/>
      <c r="D12" s="124"/>
      <c r="E12" s="125"/>
    </row>
    <row r="13" spans="2:13" ht="14.75" customHeight="1" x14ac:dyDescent="0.2">
      <c r="B13" s="65" t="s">
        <v>45</v>
      </c>
      <c r="C13" s="32"/>
      <c r="D13" s="32"/>
      <c r="E13" s="37"/>
      <c r="G13" s="216" t="str">
        <f>IF('(HIDE) Data Validation'!B25=0,"","YOU HAVE NOT YET RAISED ENOUGH CAPITAL. YOU STILL NEED $"&amp;TEXT('(HIDE) Data Validation'!B25,"#,##0;;@"))</f>
        <v/>
      </c>
      <c r="H13" s="216"/>
      <c r="I13" s="216"/>
      <c r="J13" s="216"/>
      <c r="K13" s="216"/>
      <c r="L13" s="216"/>
      <c r="M13" s="216"/>
    </row>
    <row r="14" spans="2:13" ht="14.75" customHeight="1" x14ac:dyDescent="0.2">
      <c r="B14" s="28" t="s">
        <v>59</v>
      </c>
      <c r="C14" s="32">
        <f>'(HIDE) Data Validation'!Y35</f>
        <v>165200</v>
      </c>
      <c r="D14" s="32"/>
      <c r="E14" s="37"/>
      <c r="G14" s="216"/>
      <c r="H14" s="216"/>
      <c r="I14" s="216"/>
      <c r="J14" s="216"/>
      <c r="K14" s="216"/>
      <c r="L14" s="216"/>
      <c r="M14" s="216"/>
    </row>
    <row r="15" spans="2:13" ht="14.75" customHeight="1" x14ac:dyDescent="0.2">
      <c r="B15" s="123" t="s">
        <v>60</v>
      </c>
      <c r="C15" s="124">
        <f>-'(HIDE) Data Validation'!Y37</f>
        <v>-9743.1372549019616</v>
      </c>
      <c r="D15" s="124"/>
      <c r="E15" s="125"/>
      <c r="G15" s="216"/>
      <c r="H15" s="216"/>
      <c r="I15" s="216"/>
      <c r="J15" s="216"/>
      <c r="K15" s="216"/>
      <c r="L15" s="216"/>
      <c r="M15" s="216"/>
    </row>
    <row r="16" spans="2:13" ht="14.75" customHeight="1" x14ac:dyDescent="0.2">
      <c r="B16" s="28" t="str">
        <f>IF('(HIDE) Data Validation'!J46=2,"Vehicles","")</f>
        <v/>
      </c>
      <c r="C16" s="32" t="str">
        <f>IF('(HIDE) Data Validation'!J46=2,'2019 Full Year Cash Budget'!O29,"")</f>
        <v/>
      </c>
      <c r="D16" s="32"/>
      <c r="E16" s="37"/>
      <c r="G16" s="216"/>
      <c r="H16" s="216"/>
      <c r="I16" s="216"/>
      <c r="J16" s="216"/>
      <c r="K16" s="216"/>
      <c r="L16" s="216"/>
      <c r="M16" s="216"/>
    </row>
    <row r="17" spans="2:13" ht="14.75" customHeight="1" x14ac:dyDescent="0.2">
      <c r="B17" s="123" t="str">
        <f>IF('(HIDE) Data Validation'!J46=2,"Less: Accumulated Depreciation","")</f>
        <v/>
      </c>
      <c r="C17" s="124" t="str">
        <f>IF('(HIDE) Data Validation'!J46=2,-'(HIDE) Data Validation'!Y60,"")</f>
        <v/>
      </c>
      <c r="D17" s="124"/>
      <c r="E17" s="125"/>
      <c r="G17" s="216"/>
      <c r="H17" s="216"/>
      <c r="I17" s="216"/>
      <c r="J17" s="216"/>
      <c r="K17" s="216"/>
      <c r="L17" s="216"/>
      <c r="M17" s="216"/>
    </row>
    <row r="18" spans="2:13" ht="14.75" customHeight="1" x14ac:dyDescent="0.2">
      <c r="B18" s="65" t="s">
        <v>46</v>
      </c>
      <c r="C18" s="32"/>
      <c r="D18" s="32"/>
      <c r="E18" s="37">
        <f>SUM(C14:C17)</f>
        <v>155456.86274509804</v>
      </c>
      <c r="G18" s="216"/>
      <c r="H18" s="216"/>
      <c r="I18" s="216"/>
      <c r="J18" s="216"/>
      <c r="K18" s="216"/>
      <c r="L18" s="216"/>
      <c r="M18" s="216"/>
    </row>
    <row r="19" spans="2:13" ht="16" x14ac:dyDescent="0.2">
      <c r="B19" s="126" t="s">
        <v>47</v>
      </c>
      <c r="C19" s="133"/>
      <c r="D19" s="133"/>
      <c r="E19" s="127">
        <f>E11+E18</f>
        <v>574774.706745098</v>
      </c>
      <c r="G19" s="216"/>
      <c r="H19" s="216"/>
      <c r="I19" s="216"/>
      <c r="J19" s="216"/>
      <c r="K19" s="216"/>
      <c r="L19" s="216"/>
      <c r="M19" s="216"/>
    </row>
    <row r="20" spans="2:13" x14ac:dyDescent="0.2">
      <c r="B20" s="9"/>
      <c r="C20" s="32"/>
      <c r="D20" s="32"/>
      <c r="E20" s="37"/>
    </row>
    <row r="21" spans="2:13" ht="16" x14ac:dyDescent="0.2">
      <c r="B21" s="126" t="s">
        <v>48</v>
      </c>
      <c r="C21" s="124"/>
      <c r="D21" s="124"/>
      <c r="E21" s="125"/>
    </row>
    <row r="22" spans="2:13" x14ac:dyDescent="0.2">
      <c r="B22" s="65" t="s">
        <v>51</v>
      </c>
      <c r="C22" s="32"/>
      <c r="D22" s="32"/>
      <c r="E22" s="37"/>
    </row>
    <row r="23" spans="2:13" x14ac:dyDescent="0.2">
      <c r="B23" s="123" t="s">
        <v>61</v>
      </c>
      <c r="C23" s="124">
        <f>'(HIDE) Data Validation'!Y23</f>
        <v>3200</v>
      </c>
      <c r="D23" s="124"/>
      <c r="E23" s="125"/>
      <c r="H23" s="32"/>
    </row>
    <row r="24" spans="2:13" x14ac:dyDescent="0.2">
      <c r="B24" s="65" t="s">
        <v>49</v>
      </c>
      <c r="C24" s="32"/>
      <c r="D24" s="32"/>
      <c r="E24" s="37">
        <f>C23</f>
        <v>3200</v>
      </c>
    </row>
    <row r="25" spans="2:13" x14ac:dyDescent="0.2">
      <c r="B25" s="131"/>
      <c r="C25" s="124"/>
      <c r="D25" s="124"/>
      <c r="E25" s="125"/>
    </row>
    <row r="26" spans="2:13" x14ac:dyDescent="0.2">
      <c r="B26" s="65" t="s">
        <v>52</v>
      </c>
      <c r="C26" s="32"/>
      <c r="D26" s="32"/>
      <c r="E26" s="37"/>
    </row>
    <row r="27" spans="2:13" x14ac:dyDescent="0.2">
      <c r="B27" s="123" t="s">
        <v>62</v>
      </c>
      <c r="C27" s="124">
        <f>'(HIDE) Data Validation'!B32</f>
        <v>116943.36</v>
      </c>
      <c r="D27" s="124"/>
      <c r="E27" s="125"/>
    </row>
    <row r="28" spans="2:13" x14ac:dyDescent="0.2">
      <c r="B28" s="65" t="s">
        <v>50</v>
      </c>
      <c r="C28" s="32"/>
      <c r="D28" s="32"/>
      <c r="E28" s="37">
        <f>C27</f>
        <v>116943.36</v>
      </c>
    </row>
    <row r="29" spans="2:13" ht="16" x14ac:dyDescent="0.2">
      <c r="B29" s="126" t="s">
        <v>53</v>
      </c>
      <c r="C29" s="133"/>
      <c r="D29" s="133"/>
      <c r="E29" s="127">
        <f>E28+E24</f>
        <v>120143.36</v>
      </c>
    </row>
    <row r="30" spans="2:13" x14ac:dyDescent="0.2">
      <c r="B30" s="9"/>
      <c r="C30" s="32"/>
      <c r="D30" s="32"/>
      <c r="E30" s="37"/>
    </row>
    <row r="31" spans="2:13" ht="16" x14ac:dyDescent="0.2">
      <c r="B31" s="126" t="s">
        <v>54</v>
      </c>
      <c r="C31" s="133"/>
      <c r="D31" s="133"/>
      <c r="E31" s="127">
        <f>E19-E29</f>
        <v>454631.34674509801</v>
      </c>
    </row>
    <row r="32" spans="2:13" x14ac:dyDescent="0.2">
      <c r="B32" s="9"/>
      <c r="C32" s="32"/>
      <c r="D32" s="32"/>
      <c r="E32" s="37"/>
    </row>
    <row r="33" spans="1:7" ht="16" x14ac:dyDescent="0.2">
      <c r="B33" s="126" t="s">
        <v>55</v>
      </c>
      <c r="C33" s="124"/>
      <c r="D33" s="124"/>
      <c r="E33" s="125"/>
    </row>
    <row r="34" spans="1:7" x14ac:dyDescent="0.2">
      <c r="B34" s="36" t="s">
        <v>353</v>
      </c>
      <c r="C34" s="32">
        <f>'(HIDE) Data Validation'!C18</f>
        <v>150000</v>
      </c>
      <c r="D34" s="32"/>
      <c r="E34" s="37"/>
    </row>
    <row r="35" spans="1:7" x14ac:dyDescent="0.2">
      <c r="B35" s="132" t="s">
        <v>354</v>
      </c>
      <c r="C35" s="124">
        <f>'(HIDE) Data Validation'!C20</f>
        <v>0</v>
      </c>
      <c r="D35" s="124"/>
      <c r="E35" s="125"/>
    </row>
    <row r="36" spans="1:7" x14ac:dyDescent="0.2">
      <c r="B36" s="36" t="s">
        <v>351</v>
      </c>
      <c r="C36" s="32">
        <f>'2019 Income Statement'!F31</f>
        <v>304631.34674509778</v>
      </c>
      <c r="D36" s="32"/>
      <c r="E36" s="37"/>
      <c r="G36" s="32"/>
    </row>
    <row r="37" spans="1:7" x14ac:dyDescent="0.2">
      <c r="B37" s="132" t="s">
        <v>352</v>
      </c>
      <c r="C37" s="124">
        <f>'2019 Income Statement'!F30</f>
        <v>0</v>
      </c>
      <c r="D37" s="124"/>
      <c r="E37" s="125"/>
      <c r="G37" s="32"/>
    </row>
    <row r="38" spans="1:7" ht="16" x14ac:dyDescent="0.2">
      <c r="B38" s="26" t="s">
        <v>56</v>
      </c>
      <c r="C38" s="38"/>
      <c r="D38" s="38"/>
      <c r="E38" s="39">
        <f>SUM(C34:C37)</f>
        <v>454631.34674509778</v>
      </c>
      <c r="G38" s="32"/>
    </row>
    <row r="39" spans="1:7" x14ac:dyDescent="0.2">
      <c r="B39" s="102"/>
      <c r="C39" s="138"/>
      <c r="D39" s="138"/>
      <c r="E39" s="139"/>
    </row>
    <row r="40" spans="1:7" x14ac:dyDescent="0.2">
      <c r="B40" s="23"/>
      <c r="C40" s="30"/>
      <c r="D40" s="30"/>
      <c r="E40" s="31"/>
    </row>
    <row r="42" spans="1:7" ht="16" x14ac:dyDescent="0.2">
      <c r="A42" s="166"/>
    </row>
    <row r="43" spans="1:7" ht="16" x14ac:dyDescent="0.2">
      <c r="A43" s="166"/>
    </row>
    <row r="44" spans="1:7" ht="16" x14ac:dyDescent="0.2">
      <c r="A44" s="166"/>
    </row>
    <row r="45" spans="1:7" ht="16" x14ac:dyDescent="0.2">
      <c r="A45" s="166"/>
    </row>
    <row r="46" spans="1:7" s="168" customFormat="1" ht="16" x14ac:dyDescent="0.2">
      <c r="A46" s="167"/>
    </row>
    <row r="47" spans="1:7" ht="16" x14ac:dyDescent="0.2">
      <c r="A47" s="166"/>
    </row>
    <row r="48" spans="1:7" ht="16" x14ac:dyDescent="0.2">
      <c r="A48" s="166"/>
    </row>
    <row r="49" spans="1:1" ht="16" x14ac:dyDescent="0.2">
      <c r="A49" s="166"/>
    </row>
  </sheetData>
  <sheetProtection algorithmName="SHA-512" hashValue="R/s+1BliQ1xnSDBs5MDE0fYDeIaGXmTuxNaL2CektIK8oZzW4l97/vtRcaegv3yTyZY5b577hhNddoXQ7J3LmQ==" saltValue="tcOSF+c7/yfs2ukeSTJ53w==" spinCount="100000" sheet="1" formatColumns="0" formatRows="0" selectLockedCells="1"/>
  <mergeCells count="4">
    <mergeCell ref="B2:E2"/>
    <mergeCell ref="B3:E3"/>
    <mergeCell ref="B4:E4"/>
    <mergeCell ref="G13:M19"/>
  </mergeCells>
  <pageMargins left="0.7" right="0.7" top="0.75" bottom="0.75" header="0.3" footer="0.3"/>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P32"/>
  <sheetViews>
    <sheetView tabSelected="1" topLeftCell="A4" zoomScale="90" zoomScaleNormal="90" workbookViewId="0">
      <selection activeCell="E11" sqref="E11"/>
    </sheetView>
  </sheetViews>
  <sheetFormatPr baseColWidth="10" defaultColWidth="8.83203125" defaultRowHeight="44.5" customHeight="1" x14ac:dyDescent="0.25"/>
  <cols>
    <col min="1" max="1" width="12.83203125" style="40" bestFit="1" customWidth="1"/>
    <col min="2" max="2" width="11.5" style="152" customWidth="1"/>
    <col min="3" max="3" width="8.83203125" style="40"/>
    <col min="4" max="4" width="47.5" style="58" customWidth="1"/>
    <col min="5" max="5" width="16.1640625" style="165" customWidth="1"/>
    <col min="6" max="6" width="3.5" style="1" customWidth="1"/>
    <col min="7" max="7" width="34.1640625" style="1" customWidth="1"/>
    <col min="8" max="8" width="4.1640625" style="1" customWidth="1"/>
    <col min="9" max="9" width="8.83203125" style="1"/>
    <col min="10" max="10" width="12.5" style="1" bestFit="1" customWidth="1"/>
    <col min="11" max="15" width="8.83203125" style="1"/>
    <col min="16" max="16" width="25.5" style="1" customWidth="1"/>
    <col min="17" max="16384" width="8.83203125" style="1"/>
  </cols>
  <sheetData>
    <row r="1" spans="1:16" ht="54.25" customHeight="1" x14ac:dyDescent="0.2">
      <c r="A1" s="46" t="s">
        <v>63</v>
      </c>
      <c r="B1" s="46" t="s">
        <v>421</v>
      </c>
      <c r="C1" s="47"/>
      <c r="D1" s="48"/>
      <c r="E1" s="223" t="s">
        <v>455</v>
      </c>
      <c r="F1" s="223"/>
      <c r="G1" s="223"/>
      <c r="H1" s="223"/>
      <c r="I1" s="223"/>
      <c r="J1" s="223"/>
      <c r="K1" s="223"/>
      <c r="L1" s="223"/>
      <c r="M1" s="223"/>
      <c r="N1" s="223"/>
      <c r="O1" s="223"/>
      <c r="P1" s="223"/>
    </row>
    <row r="2" spans="1:16" ht="54.25" customHeight="1" x14ac:dyDescent="0.2">
      <c r="A2" s="1"/>
      <c r="B2" s="146"/>
      <c r="C2" s="1"/>
      <c r="D2" s="1"/>
      <c r="E2" s="223"/>
      <c r="F2" s="223"/>
      <c r="G2" s="223"/>
      <c r="H2" s="223"/>
      <c r="I2" s="223"/>
      <c r="J2" s="223"/>
      <c r="K2" s="223"/>
      <c r="L2" s="223"/>
      <c r="M2" s="223"/>
      <c r="N2" s="223"/>
      <c r="O2" s="223"/>
      <c r="P2" s="223"/>
    </row>
    <row r="3" spans="1:16" ht="54.25" customHeight="1" thickBot="1" x14ac:dyDescent="0.25">
      <c r="A3" s="1"/>
      <c r="B3" s="147"/>
      <c r="C3" s="46" t="s">
        <v>422</v>
      </c>
      <c r="D3" s="49"/>
      <c r="E3" s="223"/>
      <c r="F3" s="223"/>
      <c r="G3" s="223"/>
      <c r="H3" s="223"/>
      <c r="I3" s="223"/>
      <c r="J3" s="223"/>
      <c r="K3" s="223"/>
      <c r="L3" s="223"/>
      <c r="M3" s="223"/>
      <c r="N3" s="223"/>
      <c r="O3" s="223"/>
      <c r="P3" s="223"/>
    </row>
    <row r="4" spans="1:16" s="54" customFormat="1" ht="54.25" customHeight="1" thickTop="1" thickBot="1" x14ac:dyDescent="0.25">
      <c r="A4" s="51"/>
      <c r="B4" s="148">
        <f>ROUND('2019 Income Statement'!F28/'2019 Income Statement'!F10,4)</f>
        <v>0.19170000000000001</v>
      </c>
      <c r="C4" s="52"/>
      <c r="D4" s="53" t="s">
        <v>445</v>
      </c>
      <c r="E4" s="161">
        <f>'2019 Income Statement'!F28/'2019 Income Statement'!F10</f>
        <v>0.19167063899479397</v>
      </c>
      <c r="G4" s="153" t="str">
        <f>IF(OR(ISNUMBER(E4),E4=""),IF(ROUND(E4,4)=E4,"","PLEASE ROUND TO 4 DECIMAL PLACES"),"ONLY INCLUDE YOUR ANSWER. DO NOT INCLUDE ANY WORKINGS")</f>
        <v>PLEASE ROUND TO 4 DECIMAL PLACES</v>
      </c>
      <c r="H4" s="66">
        <f>IF(E4=B4,1,0)</f>
        <v>0</v>
      </c>
      <c r="I4" s="55"/>
      <c r="J4" s="55"/>
      <c r="K4" s="55"/>
      <c r="L4" s="55"/>
    </row>
    <row r="5" spans="1:16" ht="54.25" customHeight="1" thickTop="1" thickBot="1" x14ac:dyDescent="0.25">
      <c r="A5" s="51"/>
      <c r="B5" s="148">
        <f>ROUND('2019 Income Statement'!F12/'2019 Income Statement'!F10,4)</f>
        <v>0.64959999999999996</v>
      </c>
      <c r="C5" s="47"/>
      <c r="D5" s="49" t="s">
        <v>70</v>
      </c>
      <c r="E5" s="161">
        <f>'2019 Income Statement'!F12/'2019 Income Statement'!F10</f>
        <v>0.64957871655546795</v>
      </c>
      <c r="G5" s="153" t="str">
        <f t="shared" ref="G5:G20" si="0">IF(OR(ISNUMBER(E5),E5=""),IF(ROUND(E5,4)=E5,"","PLEASE ROUND TO 4 DECIMAL PLACES"),"ONLY INCLUDE YOUR ANSWER. DO NOT INCLUDE ANY WORKINGS")</f>
        <v>PLEASE ROUND TO 4 DECIMAL PLACES</v>
      </c>
      <c r="H5" s="66">
        <f>IF(E5=B5,1,0)</f>
        <v>0</v>
      </c>
      <c r="I5" s="50"/>
      <c r="J5" s="50"/>
      <c r="K5" s="50"/>
      <c r="L5" s="50"/>
    </row>
    <row r="6" spans="1:16" ht="54.25" customHeight="1" thickTop="1" thickBot="1" x14ac:dyDescent="0.25">
      <c r="A6" s="51"/>
      <c r="B6" s="148">
        <f>ROUND('2019 Income Statement'!F28/'2019 Balance Sheet'!E19,4)</f>
        <v>0.53</v>
      </c>
      <c r="C6" s="47"/>
      <c r="D6" s="49" t="s">
        <v>69</v>
      </c>
      <c r="E6" s="161">
        <f>'2019 Income Statement'!F28/'2019 Balance Sheet'!E19</f>
        <v>0.53000130863482164</v>
      </c>
      <c r="G6" s="153" t="str">
        <f t="shared" si="0"/>
        <v>PLEASE ROUND TO 4 DECIMAL PLACES</v>
      </c>
      <c r="H6" s="66">
        <f>IF(E6=B6,1,0)</f>
        <v>0</v>
      </c>
      <c r="I6" s="50"/>
      <c r="J6" s="50"/>
      <c r="K6" s="50"/>
      <c r="L6" s="50"/>
    </row>
    <row r="7" spans="1:16" ht="54.25" customHeight="1" thickTop="1" thickBot="1" x14ac:dyDescent="0.25">
      <c r="A7" s="51"/>
      <c r="B7" s="148">
        <f>ROUND('2019 Income Statement'!F28/'2019 Balance Sheet'!E38,4)</f>
        <v>0.67010000000000003</v>
      </c>
      <c r="C7" s="47"/>
      <c r="D7" s="49" t="s">
        <v>452</v>
      </c>
      <c r="E7" s="161">
        <f>'2019 Income Statement'!F28/'2019 Balance Sheet'!E38</f>
        <v>0.67006234595587211</v>
      </c>
      <c r="G7" s="153" t="str">
        <f t="shared" si="0"/>
        <v>PLEASE ROUND TO 4 DECIMAL PLACES</v>
      </c>
      <c r="H7" s="66">
        <f>IF(E7=B7,1,0)</f>
        <v>0</v>
      </c>
      <c r="I7" s="50"/>
      <c r="J7" s="50"/>
      <c r="K7" s="50"/>
      <c r="L7" s="50"/>
    </row>
    <row r="8" spans="1:16" ht="54.25" customHeight="1" thickTop="1" thickBot="1" x14ac:dyDescent="0.25">
      <c r="A8" s="51"/>
      <c r="B8" s="148">
        <f>ROUND('2019 Income Statement'!F10/'2019 Balance Sheet'!E19,4)</f>
        <v>2.7652000000000001</v>
      </c>
      <c r="C8" s="47"/>
      <c r="D8" s="49" t="s">
        <v>68</v>
      </c>
      <c r="E8" s="161">
        <f>'2019 Income Statement'!F10/'2019 Balance Sheet'!E19</f>
        <v>2.7651669103540533</v>
      </c>
      <c r="G8" s="153" t="str">
        <f t="shared" si="0"/>
        <v>PLEASE ROUND TO 4 DECIMAL PLACES</v>
      </c>
      <c r="H8" s="66">
        <f t="shared" ref="H8:H20" si="1">IF(E8=B8,1,0)</f>
        <v>0</v>
      </c>
      <c r="I8" s="50"/>
      <c r="J8" s="50"/>
      <c r="K8" s="50"/>
      <c r="L8" s="50"/>
    </row>
    <row r="9" spans="1:16" ht="54.25" customHeight="1" thickTop="1" thickBot="1" x14ac:dyDescent="0.25">
      <c r="A9" s="51"/>
      <c r="B9" s="149"/>
      <c r="C9" s="46" t="s">
        <v>64</v>
      </c>
      <c r="D9" s="49"/>
      <c r="E9" s="162"/>
      <c r="G9" s="153"/>
      <c r="H9" s="66"/>
      <c r="I9" s="50"/>
      <c r="J9" s="50"/>
      <c r="K9" s="50"/>
      <c r="L9" s="50"/>
    </row>
    <row r="10" spans="1:16" ht="54.25" customHeight="1" thickTop="1" thickBot="1" x14ac:dyDescent="0.25">
      <c r="A10" s="46"/>
      <c r="B10" s="148">
        <f>ROUND('2019 Balance Sheet'!E11/'2019 Balance Sheet'!E24,4)</f>
        <v>131.0368</v>
      </c>
      <c r="C10" s="46"/>
      <c r="D10" s="49" t="s">
        <v>65</v>
      </c>
      <c r="E10" s="161">
        <f>'2019 Balance Sheet'!E11/'2019 Balance Sheet'!E24</f>
        <v>131.03682624999999</v>
      </c>
      <c r="G10" s="153" t="str">
        <f t="shared" si="0"/>
        <v>PLEASE ROUND TO 4 DECIMAL PLACES</v>
      </c>
      <c r="H10" s="66">
        <f t="shared" si="1"/>
        <v>0</v>
      </c>
      <c r="I10" s="50"/>
      <c r="J10" s="50"/>
      <c r="K10" s="50"/>
      <c r="L10" s="50"/>
    </row>
    <row r="11" spans="1:16" s="54" customFormat="1" ht="54.25" customHeight="1" thickTop="1" thickBot="1" x14ac:dyDescent="0.25">
      <c r="A11" s="51"/>
      <c r="B11" s="150">
        <f>ROUND(ROUND('2019 Balance Sheet'!E11,2)-ROUND('2019 Balance Sheet'!E24,2),4)</f>
        <v>416117.84</v>
      </c>
      <c r="C11" s="52"/>
      <c r="D11" s="53" t="s">
        <v>453</v>
      </c>
      <c r="E11" s="161">
        <f>'2019 Balance Sheet'!E11-E24</f>
        <v>419317.84399999992</v>
      </c>
      <c r="G11" s="153" t="str">
        <f t="shared" si="0"/>
        <v/>
      </c>
      <c r="H11" s="66">
        <f>IF(E11=B11,1,0)</f>
        <v>0</v>
      </c>
      <c r="I11" s="55"/>
      <c r="J11" s="55"/>
      <c r="K11" s="55"/>
      <c r="L11" s="55"/>
    </row>
    <row r="12" spans="1:16" s="54" customFormat="1" ht="54.25" customHeight="1" thickTop="1" thickBot="1" x14ac:dyDescent="0.25">
      <c r="A12" s="51"/>
      <c r="B12" s="148">
        <f>ROUND('2019 Balance Sheet'!C8/'2019 Balance Sheet'!E24,4)</f>
        <v>105.56140000000001</v>
      </c>
      <c r="C12" s="51"/>
      <c r="D12" s="53" t="s">
        <v>67</v>
      </c>
      <c r="E12" s="161">
        <f>'2019 Balance Sheet'!C8/'2019 Balance Sheet'!E24</f>
        <v>105.56136578124998</v>
      </c>
      <c r="G12" s="153" t="str">
        <f t="shared" si="0"/>
        <v>PLEASE ROUND TO 4 DECIMAL PLACES</v>
      </c>
      <c r="H12" s="66">
        <f>IF(E12=B12,1,0)</f>
        <v>0</v>
      </c>
      <c r="I12" s="55"/>
      <c r="J12" s="55"/>
      <c r="K12" s="55"/>
      <c r="L12" s="55"/>
    </row>
    <row r="13" spans="1:16" ht="54.25" customHeight="1" thickTop="1" thickBot="1" x14ac:dyDescent="0.25">
      <c r="A13" s="46"/>
      <c r="B13" s="148">
        <f>ROUND(('2019 Balance Sheet'!C8+'2019 Balance Sheet'!C9)/'2019 Balance Sheet'!E24,4)</f>
        <v>125.2559</v>
      </c>
      <c r="C13" s="46"/>
      <c r="D13" s="49" t="s">
        <v>66</v>
      </c>
      <c r="E13" s="161">
        <f>('2019 Balance Sheet'!C8+'2019 Balance Sheet'!C9)/'2019 Balance Sheet'!E24</f>
        <v>125.25589703124997</v>
      </c>
      <c r="G13" s="153" t="str">
        <f t="shared" si="0"/>
        <v>PLEASE ROUND TO 4 DECIMAL PLACES</v>
      </c>
      <c r="H13" s="66">
        <f>IF(E13=B13,1,0)</f>
        <v>0</v>
      </c>
      <c r="I13" s="50"/>
      <c r="J13" s="56"/>
      <c r="K13" s="50"/>
      <c r="L13" s="50"/>
    </row>
    <row r="14" spans="1:16" s="54" customFormat="1" ht="82.75" customHeight="1" thickTop="1" thickBot="1" x14ac:dyDescent="0.25">
      <c r="A14" s="51"/>
      <c r="B14" s="148">
        <f>ROUND(('2019 Income Statement'!F10/((50000+'2019 Balance Sheet'!C9)/2)),4)</f>
        <v>28.124500000000001</v>
      </c>
      <c r="C14" s="51"/>
      <c r="D14" s="59" t="s">
        <v>454</v>
      </c>
      <c r="E14" s="161">
        <f>'2019 Balance Sheet'!C9/((50000+'2019 Balance Sheet'!C9)/(2))</f>
        <v>1.1152204207126899</v>
      </c>
      <c r="G14" s="153" t="str">
        <f t="shared" si="0"/>
        <v>PLEASE ROUND TO 4 DECIMAL PLACES</v>
      </c>
      <c r="H14" s="66">
        <f t="shared" si="1"/>
        <v>0</v>
      </c>
      <c r="I14" s="55"/>
      <c r="J14" s="55"/>
      <c r="K14" s="55"/>
      <c r="L14" s="55"/>
    </row>
    <row r="15" spans="1:16" ht="54.25" customHeight="1" thickTop="1" thickBot="1" x14ac:dyDescent="0.25">
      <c r="A15" s="46"/>
      <c r="B15" s="148">
        <f>ROUND('2019 Income Statement'!D11/'2019 Inventory Reports'!O35,4)</f>
        <v>43.823700000000002</v>
      </c>
      <c r="C15" s="46"/>
      <c r="D15" s="60" t="s">
        <v>511</v>
      </c>
      <c r="E15" s="161">
        <f>'2019 Income Statement'!D11/'2019 Inventory Reports'!O35</f>
        <v>43.823733404046216</v>
      </c>
      <c r="G15" s="153" t="str">
        <f t="shared" si="0"/>
        <v>PLEASE ROUND TO 4 DECIMAL PLACES</v>
      </c>
      <c r="H15" s="66">
        <f t="shared" si="1"/>
        <v>0</v>
      </c>
      <c r="I15" s="50"/>
      <c r="J15" s="56"/>
      <c r="K15" s="56"/>
    </row>
    <row r="16" spans="1:16" ht="54.25" customHeight="1" thickTop="1" thickBot="1" x14ac:dyDescent="0.25">
      <c r="A16" s="46"/>
      <c r="B16" s="151"/>
      <c r="C16" s="46" t="s">
        <v>234</v>
      </c>
      <c r="D16" s="49"/>
      <c r="E16" s="163"/>
      <c r="G16" s="153"/>
      <c r="H16" s="66"/>
      <c r="I16" s="50"/>
      <c r="J16" s="50"/>
      <c r="K16" s="50"/>
      <c r="L16" s="50"/>
    </row>
    <row r="17" spans="1:12" ht="54.25" customHeight="1" thickTop="1" thickBot="1" x14ac:dyDescent="0.25">
      <c r="A17" s="46"/>
      <c r="B17" s="148">
        <f>ROUND('2019 Balance Sheet'!E29/'2019 Balance Sheet'!E19,4)</f>
        <v>0.20899999999999999</v>
      </c>
      <c r="C17" s="47"/>
      <c r="D17" s="49" t="s">
        <v>232</v>
      </c>
      <c r="E17" s="224">
        <f>'2019 Balance Sheet'!E29/'2019 Balance Sheet'!E19</f>
        <v>0.20902687364300004</v>
      </c>
      <c r="G17" s="153" t="str">
        <f t="shared" si="0"/>
        <v>PLEASE ROUND TO 4 DECIMAL PLACES</v>
      </c>
      <c r="H17" s="66">
        <f t="shared" si="1"/>
        <v>0</v>
      </c>
      <c r="I17" s="50"/>
      <c r="J17" s="50"/>
      <c r="K17" s="50"/>
      <c r="L17" s="50"/>
    </row>
    <row r="18" spans="1:12" ht="54.25" customHeight="1" thickTop="1" thickBot="1" x14ac:dyDescent="0.25">
      <c r="A18" s="46"/>
      <c r="B18" s="148">
        <f>ROUND('2019 Balance Sheet'!E29/'2019 Balance Sheet'!E38,4)</f>
        <v>0.26429999999999998</v>
      </c>
      <c r="C18" s="47"/>
      <c r="D18" s="49" t="s">
        <v>233</v>
      </c>
      <c r="E18" s="161">
        <f>'2019 Balance Sheet'!E29/'2019 Balance Sheet'!E38</f>
        <v>0.26426545564919407</v>
      </c>
      <c r="G18" s="153" t="str">
        <f t="shared" si="0"/>
        <v>PLEASE ROUND TO 4 DECIMAL PLACES</v>
      </c>
      <c r="H18" s="66">
        <f t="shared" si="1"/>
        <v>0</v>
      </c>
      <c r="I18" s="50"/>
      <c r="J18" s="50"/>
      <c r="K18" s="50"/>
      <c r="L18" s="50"/>
    </row>
    <row r="19" spans="1:12" ht="54.25" customHeight="1" thickTop="1" thickBot="1" x14ac:dyDescent="0.25">
      <c r="A19" s="46"/>
      <c r="B19" s="148">
        <f>ROUND('2019 Balance Sheet'!E38/'2019 Balance Sheet'!E19,4)</f>
        <v>0.79100000000000004</v>
      </c>
      <c r="C19" s="47"/>
      <c r="D19" s="49" t="s">
        <v>235</v>
      </c>
      <c r="E19" s="161">
        <f>'2019 Balance Sheet'!E38/'2019 Balance Sheet'!E19</f>
        <v>0.79097312635699957</v>
      </c>
      <c r="G19" s="153" t="str">
        <f t="shared" si="0"/>
        <v>PLEASE ROUND TO 4 DECIMAL PLACES</v>
      </c>
      <c r="H19" s="66">
        <f t="shared" si="1"/>
        <v>0</v>
      </c>
      <c r="I19" s="50"/>
      <c r="J19" s="50"/>
      <c r="K19" s="50"/>
      <c r="L19" s="50"/>
    </row>
    <row r="20" spans="1:12" s="54" customFormat="1" ht="53" customHeight="1" thickTop="1" thickBot="1" x14ac:dyDescent="0.25">
      <c r="A20" s="51"/>
      <c r="B20" s="150">
        <f>ROUND('2019 Income Statement'!F28/('2019 Income Statement'!F28-'2019 Income Statement'!D22),4)</f>
        <v>1.0239</v>
      </c>
      <c r="C20" s="52"/>
      <c r="D20" s="53" t="s">
        <v>71</v>
      </c>
      <c r="E20" s="161">
        <f>304631.35/(304631.35-7100)</f>
        <v>1.0238630315763364</v>
      </c>
      <c r="G20" s="153" t="str">
        <f t="shared" si="0"/>
        <v>PLEASE ROUND TO 4 DECIMAL PLACES</v>
      </c>
      <c r="H20" s="66">
        <f t="shared" si="1"/>
        <v>0</v>
      </c>
      <c r="I20" s="55"/>
      <c r="J20" s="55"/>
      <c r="K20" s="55"/>
      <c r="L20" s="55"/>
    </row>
    <row r="21" spans="1:12" ht="17" thickTop="1" x14ac:dyDescent="0.2">
      <c r="A21" s="166"/>
      <c r="B21" s="1"/>
      <c r="C21" s="1"/>
      <c r="D21" s="1"/>
      <c r="E21" s="1"/>
    </row>
    <row r="22" spans="1:12" ht="16" x14ac:dyDescent="0.2">
      <c r="A22" s="166"/>
      <c r="B22" s="1"/>
      <c r="C22" s="1"/>
      <c r="D22" s="1"/>
      <c r="E22" s="1"/>
    </row>
    <row r="23" spans="1:12" ht="16" x14ac:dyDescent="0.2">
      <c r="A23" s="166"/>
      <c r="B23" s="1"/>
      <c r="C23" s="1"/>
      <c r="D23" s="1"/>
      <c r="E23" s="1"/>
    </row>
    <row r="24" spans="1:12" ht="16" x14ac:dyDescent="0.2">
      <c r="A24" s="166"/>
      <c r="B24" s="1"/>
      <c r="C24" s="1"/>
      <c r="D24" s="1"/>
      <c r="E24" s="1"/>
    </row>
    <row r="25" spans="1:12" s="168" customFormat="1" ht="16" x14ac:dyDescent="0.2">
      <c r="A25" s="167"/>
    </row>
    <row r="26" spans="1:12" ht="16" x14ac:dyDescent="0.2">
      <c r="A26" s="166"/>
      <c r="B26" s="1"/>
      <c r="C26" s="1"/>
      <c r="D26" s="1"/>
      <c r="E26" s="1"/>
    </row>
    <row r="27" spans="1:12" ht="16" x14ac:dyDescent="0.2">
      <c r="A27" s="166"/>
      <c r="B27" s="1"/>
      <c r="C27" s="1"/>
      <c r="D27" s="1"/>
      <c r="E27" s="1"/>
    </row>
    <row r="28" spans="1:12" ht="16" x14ac:dyDescent="0.2">
      <c r="A28" s="166"/>
      <c r="B28" s="1"/>
      <c r="C28" s="1"/>
      <c r="D28" s="1"/>
      <c r="E28" s="1"/>
    </row>
    <row r="29" spans="1:12" ht="44.5" customHeight="1" x14ac:dyDescent="0.2">
      <c r="A29" s="1"/>
      <c r="B29" s="146"/>
      <c r="C29" s="1"/>
      <c r="D29" s="49"/>
      <c r="E29" s="164"/>
      <c r="F29" s="57"/>
      <c r="G29" s="57"/>
      <c r="H29" s="57"/>
      <c r="I29" s="57"/>
      <c r="J29" s="57"/>
      <c r="K29" s="57"/>
      <c r="L29" s="57"/>
    </row>
    <row r="30" spans="1:12" ht="44.5" customHeight="1" x14ac:dyDescent="0.2">
      <c r="A30" s="1"/>
      <c r="B30" s="146"/>
      <c r="C30" s="1"/>
      <c r="D30" s="49"/>
      <c r="E30" s="164"/>
      <c r="F30" s="57"/>
      <c r="G30" s="57"/>
      <c r="H30" s="57"/>
      <c r="I30" s="57"/>
      <c r="J30" s="57"/>
      <c r="K30" s="57"/>
      <c r="L30" s="57"/>
    </row>
    <row r="31" spans="1:12" ht="44.5" customHeight="1" x14ac:dyDescent="0.2">
      <c r="A31" s="1"/>
      <c r="B31" s="146"/>
      <c r="C31" s="1"/>
      <c r="D31" s="49"/>
      <c r="E31" s="164"/>
      <c r="F31" s="57"/>
      <c r="G31" s="57"/>
      <c r="H31" s="57"/>
      <c r="I31" s="57"/>
      <c r="J31" s="57"/>
      <c r="K31" s="57"/>
      <c r="L31" s="57"/>
    </row>
    <row r="32" spans="1:12" ht="44.5" customHeight="1" x14ac:dyDescent="0.2">
      <c r="A32" s="1"/>
      <c r="B32" s="146"/>
      <c r="C32" s="1"/>
      <c r="D32" s="49"/>
      <c r="E32" s="164"/>
      <c r="F32" s="57"/>
      <c r="G32" s="57"/>
      <c r="H32" s="57"/>
      <c r="I32" s="57"/>
      <c r="J32" s="57"/>
      <c r="K32" s="57"/>
      <c r="L32" s="57"/>
    </row>
  </sheetData>
  <sheetProtection algorithmName="SHA-512" hashValue="+QMSWUxXAXdqtyHADHYAsWMdnlsbfk1A4/PKWI50f/DNAPclAFH/oQ44q4Zf4nQTw103LBHVP7CL2VO7C6IFxA==" saltValue="FVk3OXotxBw6Ev7pCZC3hg==" spinCount="100000" sheet="1" formatColumns="0" formatRows="0" selectLockedCells="1"/>
  <mergeCells count="1">
    <mergeCell ref="E1:P3"/>
  </mergeCells>
  <pageMargins left="0.7" right="0.7" top="0.75" bottom="0.75" header="0.3" footer="0.3"/>
  <pageSetup paperSize="9"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
  <dimension ref="A1:BN94"/>
  <sheetViews>
    <sheetView topLeftCell="A40" zoomScale="70" zoomScaleNormal="70" workbookViewId="0">
      <selection activeCell="H69" sqref="H69"/>
    </sheetView>
  </sheetViews>
  <sheetFormatPr baseColWidth="10" defaultColWidth="8.83203125" defaultRowHeight="15" x14ac:dyDescent="0.2"/>
  <cols>
    <col min="1" max="1" width="27.5" style="73" bestFit="1" customWidth="1"/>
    <col min="2" max="2" width="14.5" style="73" bestFit="1" customWidth="1"/>
    <col min="3" max="3" width="11.83203125" style="73" bestFit="1" customWidth="1"/>
    <col min="4" max="4" width="14.83203125" style="73" bestFit="1" customWidth="1"/>
    <col min="5" max="5" width="21.5" style="73" bestFit="1" customWidth="1"/>
    <col min="6" max="6" width="27.83203125" style="73" bestFit="1" customWidth="1"/>
    <col min="7" max="7" width="29.5" style="73" bestFit="1" customWidth="1"/>
    <col min="8" max="8" width="8.83203125" style="73"/>
    <col min="9" max="9" width="26.83203125" style="73" bestFit="1" customWidth="1"/>
    <col min="10" max="10" width="18.83203125" style="73" bestFit="1" customWidth="1"/>
    <col min="11" max="11" width="8.83203125" style="73"/>
    <col min="12" max="12" width="22" style="73" customWidth="1"/>
    <col min="13" max="13" width="9" style="73" customWidth="1"/>
    <col min="14" max="25" width="8.83203125" style="73"/>
    <col min="26" max="26" width="24.1640625" style="73" bestFit="1" customWidth="1"/>
    <col min="27" max="35" width="8.83203125" style="73"/>
    <col min="36" max="36" width="10.1640625" style="73" bestFit="1" customWidth="1"/>
    <col min="37" max="37" width="10" style="73" customWidth="1"/>
    <col min="38" max="56" width="8.83203125" style="73"/>
    <col min="57" max="57" width="27.83203125" style="73" bestFit="1" customWidth="1"/>
    <col min="58" max="16384" width="8.83203125" style="73"/>
  </cols>
  <sheetData>
    <row r="1" spans="1:65" x14ac:dyDescent="0.2">
      <c r="A1" s="70" t="s">
        <v>83</v>
      </c>
      <c r="B1" s="70"/>
      <c r="C1" s="70" t="s">
        <v>85</v>
      </c>
      <c r="D1" s="70" t="s">
        <v>89</v>
      </c>
      <c r="E1" s="71" t="s">
        <v>88</v>
      </c>
      <c r="F1" s="71" t="s">
        <v>97</v>
      </c>
      <c r="G1" s="71"/>
      <c r="H1" s="71"/>
      <c r="I1" s="71" t="s">
        <v>99</v>
      </c>
      <c r="J1" s="71" t="s">
        <v>96</v>
      </c>
      <c r="K1" s="71"/>
      <c r="L1" s="72" t="s">
        <v>117</v>
      </c>
      <c r="M1" s="72"/>
      <c r="N1" s="72"/>
      <c r="O1" s="72"/>
      <c r="P1" s="72"/>
      <c r="Q1" s="72"/>
      <c r="R1" s="72"/>
      <c r="S1" s="72"/>
      <c r="T1" s="72"/>
      <c r="U1" s="72"/>
      <c r="V1" s="72"/>
      <c r="W1" s="72"/>
      <c r="X1" s="72"/>
      <c r="BE1" s="72" t="s">
        <v>117</v>
      </c>
    </row>
    <row r="2" spans="1:65" x14ac:dyDescent="0.2">
      <c r="A2" s="70">
        <v>3</v>
      </c>
      <c r="B2" s="70"/>
      <c r="C2" s="70">
        <v>1</v>
      </c>
      <c r="D2" s="70">
        <v>3</v>
      </c>
      <c r="E2" s="71">
        <v>190</v>
      </c>
      <c r="F2" s="71">
        <v>69</v>
      </c>
      <c r="G2" s="71"/>
      <c r="H2" s="71"/>
      <c r="I2" s="71">
        <f>'Business Decisions'!C15</f>
        <v>5000</v>
      </c>
      <c r="J2" s="71">
        <v>20</v>
      </c>
      <c r="K2" s="71"/>
      <c r="L2" s="72"/>
      <c r="M2" s="72" t="s">
        <v>114</v>
      </c>
      <c r="N2" s="72" t="s">
        <v>115</v>
      </c>
      <c r="O2" s="72" t="s">
        <v>116</v>
      </c>
      <c r="P2" s="72" t="s">
        <v>118</v>
      </c>
      <c r="Q2" s="72" t="s">
        <v>5</v>
      </c>
      <c r="R2" s="72" t="s">
        <v>119</v>
      </c>
      <c r="S2" s="72" t="s">
        <v>120</v>
      </c>
      <c r="T2" s="72" t="s">
        <v>121</v>
      </c>
      <c r="U2" s="72" t="s">
        <v>122</v>
      </c>
      <c r="V2" s="72" t="s">
        <v>123</v>
      </c>
      <c r="W2" s="72" t="s">
        <v>124</v>
      </c>
      <c r="X2" s="72" t="s">
        <v>125</v>
      </c>
      <c r="AA2" s="72" t="s">
        <v>114</v>
      </c>
      <c r="AB2" s="72" t="s">
        <v>115</v>
      </c>
      <c r="AC2" s="72" t="s">
        <v>116</v>
      </c>
      <c r="AD2" s="72" t="s">
        <v>118</v>
      </c>
      <c r="AE2" s="72" t="s">
        <v>5</v>
      </c>
      <c r="AF2" s="72" t="s">
        <v>119</v>
      </c>
      <c r="AK2" s="72" t="s">
        <v>114</v>
      </c>
      <c r="AL2" s="72" t="s">
        <v>115</v>
      </c>
      <c r="AM2" s="72" t="s">
        <v>116</v>
      </c>
      <c r="AN2" s="72" t="s">
        <v>118</v>
      </c>
      <c r="AO2" s="72" t="s">
        <v>5</v>
      </c>
      <c r="AP2" s="72" t="s">
        <v>119</v>
      </c>
      <c r="BE2" s="72"/>
      <c r="BF2" s="72" t="s">
        <v>120</v>
      </c>
      <c r="BG2" s="72" t="s">
        <v>121</v>
      </c>
      <c r="BH2" s="72" t="s">
        <v>122</v>
      </c>
      <c r="BI2" s="72" t="s">
        <v>123</v>
      </c>
      <c r="BJ2" s="72" t="s">
        <v>124</v>
      </c>
      <c r="BK2" s="72" t="s">
        <v>125</v>
      </c>
      <c r="BL2" s="156">
        <v>44197</v>
      </c>
    </row>
    <row r="3" spans="1:65" x14ac:dyDescent="0.2">
      <c r="A3" s="70" t="s">
        <v>72</v>
      </c>
      <c r="B3" s="70" t="s">
        <v>106</v>
      </c>
      <c r="C3" s="70" t="s">
        <v>74</v>
      </c>
      <c r="D3" s="70" t="s">
        <v>91</v>
      </c>
      <c r="E3" s="74">
        <f>IF(C2=3,F5,E2/10)</f>
        <v>19</v>
      </c>
      <c r="F3" s="74">
        <f>IF(C2=3,F6,F2/10)</f>
        <v>6.9</v>
      </c>
      <c r="G3" s="71" t="s">
        <v>135</v>
      </c>
      <c r="H3" s="71"/>
      <c r="I3" s="71" t="s">
        <v>94</v>
      </c>
      <c r="J3" s="71" t="s">
        <v>98</v>
      </c>
      <c r="K3" s="71"/>
      <c r="L3" s="72" t="s">
        <v>91</v>
      </c>
      <c r="M3" s="72">
        <v>0.9</v>
      </c>
      <c r="N3" s="72">
        <v>0.95</v>
      </c>
      <c r="O3" s="72">
        <v>0.8</v>
      </c>
      <c r="P3" s="72">
        <v>1</v>
      </c>
      <c r="Q3" s="72">
        <v>1.05</v>
      </c>
      <c r="R3" s="72">
        <v>0.8</v>
      </c>
      <c r="S3" s="72">
        <v>1</v>
      </c>
      <c r="T3" s="72">
        <v>1</v>
      </c>
      <c r="U3" s="72">
        <v>0.8</v>
      </c>
      <c r="V3" s="72">
        <v>1</v>
      </c>
      <c r="W3" s="72">
        <v>1</v>
      </c>
      <c r="X3" s="72">
        <v>1.4</v>
      </c>
      <c r="BE3" s="72" t="s">
        <v>493</v>
      </c>
      <c r="BF3" s="73">
        <v>0</v>
      </c>
      <c r="BG3" s="73">
        <v>1</v>
      </c>
      <c r="BH3" s="73">
        <v>2</v>
      </c>
      <c r="BI3" s="73">
        <v>3</v>
      </c>
      <c r="BJ3" s="73">
        <v>4</v>
      </c>
      <c r="BK3" s="73">
        <v>5</v>
      </c>
      <c r="BL3" s="73">
        <v>6</v>
      </c>
    </row>
    <row r="4" spans="1:65" x14ac:dyDescent="0.2">
      <c r="A4" s="70" t="s">
        <v>73</v>
      </c>
      <c r="B4" s="70" t="s">
        <v>107</v>
      </c>
      <c r="C4" s="70" t="s">
        <v>90</v>
      </c>
      <c r="D4" s="70" t="s">
        <v>92</v>
      </c>
      <c r="E4" s="71" t="s">
        <v>284</v>
      </c>
      <c r="F4" s="74">
        <f>F3*H35</f>
        <v>6.6930000000000005</v>
      </c>
      <c r="G4" s="71">
        <f>IF(((-0.04*(0.4*E3-F3)^3)+1)&gt;0,(-0.04*(0.4*E3-F3)^3)+1,0)</f>
        <v>0.98628000000000005</v>
      </c>
      <c r="H4" s="71"/>
      <c r="I4" s="71">
        <f>1+(SQRT(I2)/300)</f>
        <v>1.2357022603955159</v>
      </c>
      <c r="J4" s="71">
        <f>IF(J2&gt;20,1+(J2-20)/60,(J2+20)/40)</f>
        <v>1</v>
      </c>
      <c r="K4" s="71"/>
      <c r="L4" s="72" t="s">
        <v>92</v>
      </c>
      <c r="M4" s="72">
        <v>1.4</v>
      </c>
      <c r="N4" s="72">
        <v>1.1000000000000001</v>
      </c>
      <c r="O4" s="72">
        <v>1.05</v>
      </c>
      <c r="P4" s="72">
        <v>1.2</v>
      </c>
      <c r="Q4" s="72">
        <v>1</v>
      </c>
      <c r="R4" s="72">
        <v>1.55</v>
      </c>
      <c r="S4" s="72">
        <v>1</v>
      </c>
      <c r="T4" s="72">
        <v>1</v>
      </c>
      <c r="U4" s="72">
        <v>1.4</v>
      </c>
      <c r="V4" s="72">
        <v>1</v>
      </c>
      <c r="W4" s="72">
        <v>1.2</v>
      </c>
      <c r="X4" s="72">
        <v>1.7</v>
      </c>
      <c r="BE4" s="72"/>
      <c r="BF4" s="73" t="s">
        <v>463</v>
      </c>
    </row>
    <row r="5" spans="1:65" x14ac:dyDescent="0.2">
      <c r="A5" s="70" t="s">
        <v>108</v>
      </c>
      <c r="B5" s="70" t="s">
        <v>109</v>
      </c>
      <c r="C5" s="70" t="s">
        <v>86</v>
      </c>
      <c r="D5" s="70" t="s">
        <v>93</v>
      </c>
      <c r="E5" s="71" t="s">
        <v>418</v>
      </c>
      <c r="F5" s="71">
        <v>7</v>
      </c>
      <c r="G5" s="71" t="s">
        <v>161</v>
      </c>
      <c r="H5" s="71"/>
      <c r="I5" s="71">
        <f>ROUND((I4*100)-100,2)</f>
        <v>23.57</v>
      </c>
      <c r="J5" s="71">
        <f>ROUND((J4*100)-100,2)</f>
        <v>0</v>
      </c>
      <c r="K5" s="71"/>
      <c r="L5" s="72" t="s">
        <v>93</v>
      </c>
      <c r="M5" s="72">
        <v>1.2</v>
      </c>
      <c r="N5" s="72">
        <v>1.1000000000000001</v>
      </c>
      <c r="O5" s="72">
        <v>1</v>
      </c>
      <c r="P5" s="72">
        <v>1.05</v>
      </c>
      <c r="Q5" s="72">
        <v>1</v>
      </c>
      <c r="R5" s="72">
        <v>1.1000000000000001</v>
      </c>
      <c r="S5" s="72">
        <v>1</v>
      </c>
      <c r="T5" s="72">
        <v>1</v>
      </c>
      <c r="U5" s="72">
        <v>1.1000000000000001</v>
      </c>
      <c r="V5" s="72">
        <v>1</v>
      </c>
      <c r="W5" s="72">
        <v>1</v>
      </c>
      <c r="X5" s="72">
        <v>1.2</v>
      </c>
      <c r="BE5" s="73" t="s">
        <v>464</v>
      </c>
      <c r="BF5" s="73">
        <v>0.9</v>
      </c>
      <c r="BG5" s="73">
        <v>0.8</v>
      </c>
      <c r="BH5" s="73">
        <v>0.7</v>
      </c>
      <c r="BI5" s="73">
        <v>0.6</v>
      </c>
      <c r="BJ5" s="73">
        <v>0.5</v>
      </c>
      <c r="BK5" s="73">
        <v>0.4</v>
      </c>
      <c r="BL5" s="73">
        <v>0.3</v>
      </c>
    </row>
    <row r="6" spans="1:65" x14ac:dyDescent="0.2">
      <c r="A6" s="70" t="str">
        <f>IF(A2=1,A3,IF(A2=2,A4,IF(A2=3,A5,"")))</f>
        <v>Pizzas</v>
      </c>
      <c r="B6" s="70" t="str">
        <f>IF(A2=1,B3,IF(A2=2,B4,IF(A2=3,B5,"")))</f>
        <v>Pizza Ovens</v>
      </c>
      <c r="C6" s="70"/>
      <c r="D6" s="70"/>
      <c r="E6" s="71" t="s">
        <v>419</v>
      </c>
      <c r="F6" s="71">
        <v>2</v>
      </c>
      <c r="G6" s="75">
        <f>IF(E3&lt;15,((1/(0.1*E3))),2/3)</f>
        <v>0.66666666666666663</v>
      </c>
      <c r="H6" s="71"/>
      <c r="I6" s="71"/>
      <c r="J6" s="71"/>
      <c r="K6" s="71"/>
      <c r="L6" s="72"/>
      <c r="M6" s="72"/>
      <c r="N6" s="72"/>
      <c r="O6" s="72"/>
      <c r="P6" s="72"/>
      <c r="Q6" s="72"/>
      <c r="R6" s="72"/>
      <c r="S6" s="72"/>
      <c r="T6" s="72"/>
      <c r="U6" s="72"/>
      <c r="V6" s="72"/>
      <c r="W6" s="72"/>
      <c r="X6" s="72"/>
      <c r="AQ6" s="73">
        <f>SUM(AM13:AP13,AM15:AP15)</f>
        <v>7469</v>
      </c>
      <c r="AR6" s="73" t="s">
        <v>449</v>
      </c>
      <c r="BF6" s="73">
        <f>AP10+1</f>
        <v>31</v>
      </c>
      <c r="BG6" s="73">
        <f t="shared" ref="BG6:BL6" si="0">BF6+1</f>
        <v>32</v>
      </c>
      <c r="BH6" s="73">
        <f t="shared" si="0"/>
        <v>33</v>
      </c>
      <c r="BI6" s="73">
        <f t="shared" si="0"/>
        <v>34</v>
      </c>
      <c r="BJ6" s="73">
        <f t="shared" si="0"/>
        <v>35</v>
      </c>
      <c r="BK6" s="73">
        <f t="shared" si="0"/>
        <v>36</v>
      </c>
      <c r="BL6" s="73">
        <f t="shared" si="0"/>
        <v>37</v>
      </c>
    </row>
    <row r="7" spans="1:65" x14ac:dyDescent="0.2">
      <c r="A7" s="76"/>
      <c r="B7" s="76" t="s">
        <v>74</v>
      </c>
      <c r="C7" s="76" t="s">
        <v>90</v>
      </c>
      <c r="D7" s="76" t="s">
        <v>86</v>
      </c>
      <c r="E7" s="77"/>
      <c r="F7" s="77"/>
      <c r="G7" s="77" t="s">
        <v>91</v>
      </c>
      <c r="H7" s="77" t="s">
        <v>92</v>
      </c>
      <c r="I7" s="77" t="s">
        <v>93</v>
      </c>
      <c r="L7" s="72" t="s">
        <v>126</v>
      </c>
      <c r="M7" s="72">
        <f>IF($D$2=1,M3,IF($D$2=2,M4,IF($D$2=3,M5,"")))</f>
        <v>1.2</v>
      </c>
      <c r="N7" s="72">
        <f t="shared" ref="N7:X7" si="1">IF($D$2=1,N3,IF($D$2=2,N4,IF($D$2=3,N5,"")))</f>
        <v>1.1000000000000001</v>
      </c>
      <c r="O7" s="72">
        <f t="shared" si="1"/>
        <v>1</v>
      </c>
      <c r="P7" s="72">
        <f t="shared" si="1"/>
        <v>1.05</v>
      </c>
      <c r="Q7" s="72">
        <f t="shared" si="1"/>
        <v>1</v>
      </c>
      <c r="R7" s="72">
        <f t="shared" si="1"/>
        <v>1.1000000000000001</v>
      </c>
      <c r="S7" s="72">
        <f t="shared" si="1"/>
        <v>1</v>
      </c>
      <c r="T7" s="72">
        <f t="shared" si="1"/>
        <v>1</v>
      </c>
      <c r="U7" s="72">
        <f t="shared" si="1"/>
        <v>1.1000000000000001</v>
      </c>
      <c r="V7" s="72">
        <f t="shared" si="1"/>
        <v>1</v>
      </c>
      <c r="W7" s="72">
        <f t="shared" si="1"/>
        <v>1</v>
      </c>
      <c r="X7" s="72">
        <f t="shared" si="1"/>
        <v>1.2</v>
      </c>
      <c r="BE7" s="73" t="s">
        <v>466</v>
      </c>
      <c r="BF7" s="73">
        <f>AL11+$J$19*0.9^BF6</f>
        <v>8632.0558699876783</v>
      </c>
      <c r="BG7" s="73">
        <f t="shared" ref="BG7:BL7" si="2">BF7+$J$19*0.9^BG6</f>
        <v>8688.0123265528382</v>
      </c>
      <c r="BH7" s="73">
        <f t="shared" si="2"/>
        <v>8738.3731374614836</v>
      </c>
      <c r="BI7" s="73">
        <f t="shared" si="2"/>
        <v>8783.6978672792629</v>
      </c>
      <c r="BJ7" s="73">
        <f t="shared" si="2"/>
        <v>8824.4901241152656</v>
      </c>
      <c r="BK7" s="73">
        <f t="shared" si="2"/>
        <v>8861.2031552676672</v>
      </c>
      <c r="BL7" s="73">
        <f t="shared" si="2"/>
        <v>8894.2448833048293</v>
      </c>
    </row>
    <row r="8" spans="1:65" x14ac:dyDescent="0.2">
      <c r="A8" s="76" t="s">
        <v>100</v>
      </c>
      <c r="B8" s="76">
        <v>120000</v>
      </c>
      <c r="C8" s="76">
        <v>340000</v>
      </c>
      <c r="D8" s="76">
        <v>500000</v>
      </c>
      <c r="E8" s="77"/>
      <c r="F8" s="77" t="s">
        <v>103</v>
      </c>
      <c r="G8" s="77">
        <v>28000</v>
      </c>
      <c r="H8" s="77">
        <v>52000</v>
      </c>
      <c r="I8" s="77">
        <v>7000</v>
      </c>
      <c r="L8" s="72"/>
      <c r="M8" s="72"/>
      <c r="N8" s="72"/>
      <c r="O8" s="72"/>
      <c r="P8" s="72"/>
      <c r="Q8" s="72"/>
      <c r="R8" s="72"/>
      <c r="S8" s="72"/>
      <c r="T8" s="72"/>
      <c r="U8" s="72"/>
      <c r="V8" s="72"/>
      <c r="W8" s="72"/>
      <c r="X8" s="72"/>
      <c r="AA8" s="73" t="s">
        <v>341</v>
      </c>
      <c r="BE8" s="73" t="s">
        <v>496</v>
      </c>
      <c r="BF8" s="73">
        <f t="shared" ref="BF8:BK8" si="3">BF7*S7</f>
        <v>8632.0558699876783</v>
      </c>
      <c r="BG8" s="73">
        <f t="shared" si="3"/>
        <v>8688.0123265528382</v>
      </c>
      <c r="BH8" s="73">
        <f t="shared" si="3"/>
        <v>9612.210451207633</v>
      </c>
      <c r="BI8" s="73">
        <f t="shared" si="3"/>
        <v>8783.6978672792629</v>
      </c>
      <c r="BJ8" s="73">
        <f t="shared" si="3"/>
        <v>8824.4901241152656</v>
      </c>
      <c r="BK8" s="73">
        <f t="shared" si="3"/>
        <v>10633.443786321201</v>
      </c>
      <c r="BL8" s="73">
        <f>BL7*M7</f>
        <v>10673.093859965795</v>
      </c>
    </row>
    <row r="9" spans="1:65" x14ac:dyDescent="0.2">
      <c r="A9" s="76" t="s">
        <v>75</v>
      </c>
      <c r="B9" s="76">
        <v>1300</v>
      </c>
      <c r="C9" s="76">
        <v>4200</v>
      </c>
      <c r="D9" s="76">
        <v>8000</v>
      </c>
      <c r="E9" s="77"/>
      <c r="F9" s="77" t="s">
        <v>104</v>
      </c>
      <c r="G9" s="77">
        <v>2.2000000000000002</v>
      </c>
      <c r="H9" s="77">
        <v>2.5</v>
      </c>
      <c r="I9" s="77">
        <v>1.5</v>
      </c>
      <c r="AA9" s="73" t="s">
        <v>343</v>
      </c>
      <c r="AK9" s="73" t="s">
        <v>344</v>
      </c>
      <c r="AV9" s="73" t="s">
        <v>413</v>
      </c>
      <c r="BE9" s="73" t="s">
        <v>370</v>
      </c>
      <c r="BF9" s="73">
        <f>ROUND(BF7*$F$74*BF5,0)</f>
        <v>622</v>
      </c>
      <c r="BG9" s="73">
        <f t="shared" ref="BG9:BL9" si="4">ROUND(BG7*$F$74*BG5,0)</f>
        <v>556</v>
      </c>
      <c r="BH9" s="73">
        <f t="shared" si="4"/>
        <v>489</v>
      </c>
      <c r="BI9" s="73">
        <f t="shared" si="4"/>
        <v>422</v>
      </c>
      <c r="BJ9" s="73">
        <f t="shared" si="4"/>
        <v>353</v>
      </c>
      <c r="BK9" s="73">
        <f t="shared" si="4"/>
        <v>284</v>
      </c>
      <c r="BL9" s="73">
        <f t="shared" si="4"/>
        <v>213</v>
      </c>
    </row>
    <row r="10" spans="1:65" x14ac:dyDescent="0.2">
      <c r="A10" s="76" t="s">
        <v>101</v>
      </c>
      <c r="B10" s="76">
        <v>6</v>
      </c>
      <c r="C10" s="76">
        <v>1.5</v>
      </c>
      <c r="D10" s="76">
        <v>0.3</v>
      </c>
      <c r="E10" s="77"/>
      <c r="F10" s="77" t="s">
        <v>105</v>
      </c>
      <c r="G10" s="77">
        <v>1.05</v>
      </c>
      <c r="H10" s="77">
        <v>1.1000000000000001</v>
      </c>
      <c r="I10" s="77">
        <v>1</v>
      </c>
      <c r="L10" s="73" t="s">
        <v>134</v>
      </c>
      <c r="N10" s="73">
        <v>2</v>
      </c>
      <c r="O10" s="73">
        <v>4</v>
      </c>
      <c r="P10" s="73">
        <v>6</v>
      </c>
      <c r="Q10" s="73">
        <v>8</v>
      </c>
      <c r="R10" s="73">
        <v>10</v>
      </c>
      <c r="S10" s="73">
        <v>12</v>
      </c>
      <c r="T10" s="73">
        <v>14</v>
      </c>
      <c r="U10" s="73">
        <v>16</v>
      </c>
      <c r="V10" s="73">
        <v>18</v>
      </c>
      <c r="W10" s="73">
        <v>20</v>
      </c>
      <c r="X10" s="73">
        <v>22</v>
      </c>
      <c r="Y10" s="73">
        <v>24</v>
      </c>
      <c r="AA10" s="73">
        <v>25</v>
      </c>
      <c r="AB10" s="73">
        <f>AA10+1</f>
        <v>26</v>
      </c>
      <c r="AC10" s="73">
        <f>AB10+1</f>
        <v>27</v>
      </c>
      <c r="AD10" s="73">
        <f>AC10+1</f>
        <v>28</v>
      </c>
      <c r="AE10" s="73">
        <f>AD10+1</f>
        <v>29</v>
      </c>
      <c r="AF10" s="73">
        <f>AE10+1</f>
        <v>30</v>
      </c>
      <c r="AK10" s="73">
        <f t="shared" ref="AK10:AP10" si="5">AA10</f>
        <v>25</v>
      </c>
      <c r="AL10" s="73">
        <f t="shared" si="5"/>
        <v>26</v>
      </c>
      <c r="AM10" s="73">
        <f t="shared" si="5"/>
        <v>27</v>
      </c>
      <c r="AN10" s="73">
        <f t="shared" si="5"/>
        <v>28</v>
      </c>
      <c r="AO10" s="73">
        <f t="shared" si="5"/>
        <v>29</v>
      </c>
      <c r="AP10" s="73">
        <f t="shared" si="5"/>
        <v>30</v>
      </c>
      <c r="AQ10" s="73">
        <f>AP10+1</f>
        <v>31</v>
      </c>
      <c r="AV10" s="73">
        <f t="shared" ref="AV10:BA10" si="6">AK10</f>
        <v>25</v>
      </c>
      <c r="AW10" s="73">
        <f t="shared" si="6"/>
        <v>26</v>
      </c>
      <c r="AX10" s="73">
        <f t="shared" si="6"/>
        <v>27</v>
      </c>
      <c r="AY10" s="73">
        <f t="shared" si="6"/>
        <v>28</v>
      </c>
      <c r="AZ10" s="73">
        <f t="shared" si="6"/>
        <v>29</v>
      </c>
      <c r="BA10" s="73">
        <f t="shared" si="6"/>
        <v>30</v>
      </c>
      <c r="BE10" s="73" t="s">
        <v>371</v>
      </c>
      <c r="BF10" s="157">
        <f>BF9*$D$72*$E$3</f>
        <v>9454.4</v>
      </c>
      <c r="BG10" s="157">
        <f t="shared" ref="BG10:BL10" si="7">BG9*$D$72*$E$3</f>
        <v>8451.2000000000007</v>
      </c>
      <c r="BH10" s="157">
        <f t="shared" si="7"/>
        <v>7432.8000000000011</v>
      </c>
      <c r="BI10" s="157">
        <f t="shared" si="7"/>
        <v>6414.4000000000005</v>
      </c>
      <c r="BJ10" s="157">
        <f t="shared" si="7"/>
        <v>5365.6</v>
      </c>
      <c r="BK10" s="157">
        <f t="shared" si="7"/>
        <v>4316.8</v>
      </c>
      <c r="BL10" s="157">
        <f t="shared" si="7"/>
        <v>3237.6</v>
      </c>
    </row>
    <row r="11" spans="1:65" x14ac:dyDescent="0.2">
      <c r="A11" s="76" t="s">
        <v>102</v>
      </c>
      <c r="B11" s="76"/>
      <c r="C11" s="76"/>
      <c r="D11" s="76">
        <v>4500</v>
      </c>
      <c r="E11" s="77"/>
      <c r="F11" s="77"/>
      <c r="G11" s="77">
        <f>G8/1000</f>
        <v>28</v>
      </c>
      <c r="H11" s="77">
        <f>H8/1000</f>
        <v>52</v>
      </c>
      <c r="I11" s="77">
        <f>I8/1000</f>
        <v>7</v>
      </c>
      <c r="J11" s="73" t="s">
        <v>132</v>
      </c>
      <c r="M11" s="73">
        <f>J14+I42</f>
        <v>2084.3729529977563</v>
      </c>
      <c r="N11" s="73">
        <f>M11+$J$19*0.9^N10</f>
        <v>3404.375964047239</v>
      </c>
      <c r="O11" s="73">
        <f t="shared" ref="O11:T11" si="8">N11+$J$19*0.9^O10</f>
        <v>4473.5784029973202</v>
      </c>
      <c r="P11" s="73">
        <f t="shared" si="8"/>
        <v>5339.6323785468858</v>
      </c>
      <c r="Q11" s="73">
        <f t="shared" si="8"/>
        <v>6041.1360987420339</v>
      </c>
      <c r="R11" s="73">
        <f t="shared" si="8"/>
        <v>6609.3541121001044</v>
      </c>
      <c r="S11" s="73">
        <f t="shared" si="8"/>
        <v>7069.6107029201412</v>
      </c>
      <c r="T11" s="73">
        <f t="shared" si="8"/>
        <v>7442.4185414843714</v>
      </c>
      <c r="U11" s="73">
        <f>T11+$J$19*0.9^U10</f>
        <v>7744.3928907213976</v>
      </c>
      <c r="V11" s="73">
        <f>U11+$J$19*0.9^V10</f>
        <v>7988.992113603389</v>
      </c>
      <c r="W11" s="73">
        <f>V11+$J$19*0.9^W10</f>
        <v>8187.1174841378024</v>
      </c>
      <c r="X11" s="73">
        <f>W11+$J$19*0.9^X10</f>
        <v>8347.5990342706773</v>
      </c>
      <c r="Y11" s="73">
        <f>X11+$J$19*0.9^AA10</f>
        <v>8464.5900843175423</v>
      </c>
      <c r="AA11" s="73">
        <f>X11+$J$19*0.9^AA10</f>
        <v>8464.5900843175423</v>
      </c>
      <c r="AB11" s="73">
        <f>AA11+$J$19*0.9^AB10</f>
        <v>8569.8820293597219</v>
      </c>
      <c r="AC11" s="73">
        <f>AB11+$J$19*0.9^AC10</f>
        <v>8664.6447798976824</v>
      </c>
      <c r="AD11" s="73">
        <f>AC11+$J$19*0.9^AD10</f>
        <v>8749.9312553818472</v>
      </c>
      <c r="AE11" s="73">
        <f>AD11+$J$19*0.9^AE10</f>
        <v>8826.6890833175949</v>
      </c>
      <c r="AF11" s="73">
        <f>AE11+$J$19*0.9^AF10</f>
        <v>8895.7711284597681</v>
      </c>
      <c r="AG11" s="73">
        <f>AF11+$J$19</f>
        <v>10525.404475434438</v>
      </c>
      <c r="AK11" s="73">
        <f>AA11</f>
        <v>8464.5900843175423</v>
      </c>
      <c r="AL11" s="73">
        <f>AB11</f>
        <v>8569.8820293597219</v>
      </c>
      <c r="AM11" s="73">
        <f>AL11*$H$62</f>
        <v>8569.8820293597219</v>
      </c>
      <c r="AN11" s="73">
        <f>AM11</f>
        <v>8569.8820293597219</v>
      </c>
      <c r="AO11" s="73">
        <f>AN11</f>
        <v>8569.8820293597219</v>
      </c>
      <c r="AP11" s="73">
        <f>AO11</f>
        <v>8569.8820293597219</v>
      </c>
      <c r="AQ11" s="73">
        <f>AP11</f>
        <v>8569.8820293597219</v>
      </c>
      <c r="AV11" s="73">
        <f>AK11</f>
        <v>8464.5900843175423</v>
      </c>
      <c r="AW11" s="73">
        <f>AL11</f>
        <v>8569.8820293597219</v>
      </c>
      <c r="AX11" s="73">
        <f>AW11</f>
        <v>8569.8820293597219</v>
      </c>
      <c r="AY11" s="73">
        <f>AX11</f>
        <v>8569.8820293597219</v>
      </c>
      <c r="AZ11" s="73">
        <f>AY11</f>
        <v>8569.8820293597219</v>
      </c>
      <c r="BA11" s="73">
        <f>AZ11</f>
        <v>8569.8820293597219</v>
      </c>
      <c r="BC11" s="73" t="s">
        <v>415</v>
      </c>
      <c r="BE11" s="73" t="s">
        <v>372</v>
      </c>
      <c r="BF11" s="73">
        <f t="shared" ref="BF11:BL11" si="9">ROUND(BF7*$D$73*BF5,0)</f>
        <v>1010</v>
      </c>
      <c r="BG11" s="73">
        <f t="shared" si="9"/>
        <v>904</v>
      </c>
      <c r="BH11" s="73">
        <f t="shared" si="9"/>
        <v>795</v>
      </c>
      <c r="BI11" s="73">
        <f t="shared" si="9"/>
        <v>685</v>
      </c>
      <c r="BJ11" s="73">
        <f t="shared" si="9"/>
        <v>574</v>
      </c>
      <c r="BK11" s="73">
        <f t="shared" si="9"/>
        <v>461</v>
      </c>
      <c r="BL11" s="73">
        <f t="shared" si="9"/>
        <v>347</v>
      </c>
    </row>
    <row r="12" spans="1:65" x14ac:dyDescent="0.2">
      <c r="A12" s="76" t="s">
        <v>129</v>
      </c>
      <c r="B12" s="76">
        <f>IF($C$2=1,B8,IF($C$2=2,C8,IF($C$2=3,D8,0)))</f>
        <v>120000</v>
      </c>
      <c r="C12" s="76"/>
      <c r="D12" s="76"/>
      <c r="E12" s="77"/>
      <c r="F12" s="77" t="s">
        <v>136</v>
      </c>
      <c r="G12" s="77">
        <f>IF($D$2=1,G8,IF($D$2=2,H8,IF($D$2=3,I8,0)))</f>
        <v>7000</v>
      </c>
      <c r="H12" s="77"/>
      <c r="I12" s="77"/>
      <c r="J12" s="73">
        <f>G13*G6*G4*I4*J4</f>
        <v>1.2187484253828895</v>
      </c>
      <c r="L12" s="73" t="s">
        <v>141</v>
      </c>
      <c r="V12" s="73">
        <f>U11+$J$19*0.9^V10</f>
        <v>7988.992113603389</v>
      </c>
      <c r="W12" s="73">
        <f>V11+$J$19*0.9^W10</f>
        <v>8187.1174841378024</v>
      </c>
      <c r="X12" s="73">
        <f>W11+$J$19*0.9^X10</f>
        <v>8347.5990342706773</v>
      </c>
      <c r="AM12" s="73">
        <f>AM11*O7</f>
        <v>8569.8820293597219</v>
      </c>
      <c r="AN12" s="73">
        <f>AN11*P7</f>
        <v>8998.376130827708</v>
      </c>
      <c r="AO12" s="73">
        <f>AO11*Q7</f>
        <v>8569.8820293597219</v>
      </c>
      <c r="AP12" s="73">
        <f>AP11*R7</f>
        <v>9426.8702322956942</v>
      </c>
      <c r="AQ12" s="73">
        <f>AQ11*S7</f>
        <v>8569.8820293597219</v>
      </c>
      <c r="AR12" s="73" t="s">
        <v>369</v>
      </c>
      <c r="AX12" s="73">
        <f>AX11*O7</f>
        <v>8569.8820293597219</v>
      </c>
      <c r="AY12" s="73">
        <f>AY11*P7</f>
        <v>8998.376130827708</v>
      </c>
      <c r="AZ12" s="73">
        <f>AZ11*Q7</f>
        <v>8569.8820293597219</v>
      </c>
      <c r="BA12" s="73">
        <f>BA11*R7</f>
        <v>9426.8702322956942</v>
      </c>
      <c r="BE12" s="73" t="s">
        <v>373</v>
      </c>
      <c r="BF12" s="157">
        <f>BF11*$D$72*$E$3</f>
        <v>15352</v>
      </c>
      <c r="BG12" s="157">
        <f t="shared" ref="BG12:BL12" si="10">BG11*$D$72*$E$3</f>
        <v>13740.800000000001</v>
      </c>
      <c r="BH12" s="157">
        <f t="shared" si="10"/>
        <v>12084</v>
      </c>
      <c r="BI12" s="157">
        <f t="shared" si="10"/>
        <v>10412</v>
      </c>
      <c r="BJ12" s="157">
        <f t="shared" si="10"/>
        <v>8724.8000000000011</v>
      </c>
      <c r="BK12" s="157">
        <f t="shared" si="10"/>
        <v>7007.2</v>
      </c>
      <c r="BL12" s="157">
        <f t="shared" si="10"/>
        <v>5274.4000000000005</v>
      </c>
    </row>
    <row r="13" spans="1:65" x14ac:dyDescent="0.2">
      <c r="A13" s="76" t="s">
        <v>128</v>
      </c>
      <c r="B13" s="76">
        <f>IF($C$2=1,B9,IF($C$2=2,C9,IF($C$2=3,D9,"")))</f>
        <v>1300</v>
      </c>
      <c r="C13" s="76"/>
      <c r="D13" s="76"/>
      <c r="E13" s="77"/>
      <c r="F13" s="77" t="s">
        <v>137</v>
      </c>
      <c r="G13" s="77">
        <f>IF($D$2=1,G9,IF($D$2=2,H9,IF($D$2=3,I9,"")))</f>
        <v>1.5</v>
      </c>
      <c r="H13" s="77"/>
      <c r="I13" s="77"/>
      <c r="J13" s="73" t="s">
        <v>127</v>
      </c>
      <c r="M13" s="73">
        <f>ROUND(M11*M7,0)</f>
        <v>2501</v>
      </c>
      <c r="N13" s="73">
        <f t="shared" ref="N13:T13" si="11">ROUND(N11*N7,0)</f>
        <v>3745</v>
      </c>
      <c r="O13" s="73">
        <f t="shared" si="11"/>
        <v>4474</v>
      </c>
      <c r="P13" s="73">
        <f t="shared" si="11"/>
        <v>5607</v>
      </c>
      <c r="Q13" s="73">
        <f t="shared" si="11"/>
        <v>6041</v>
      </c>
      <c r="R13" s="73">
        <f t="shared" si="11"/>
        <v>7270</v>
      </c>
      <c r="S13" s="73">
        <f t="shared" si="11"/>
        <v>7070</v>
      </c>
      <c r="T13" s="73">
        <f t="shared" si="11"/>
        <v>7442</v>
      </c>
      <c r="U13" s="73">
        <f>ROUND(U11*U7,0)</f>
        <v>8519</v>
      </c>
      <c r="V13" s="73">
        <f>ROUND(V11*V7,0)</f>
        <v>7989</v>
      </c>
      <c r="W13" s="73">
        <f>ROUND(W11*W7,0)</f>
        <v>8187</v>
      </c>
      <c r="X13" s="73">
        <f>ROUND(X11*X7,0)</f>
        <v>10017</v>
      </c>
      <c r="Y13" s="73">
        <f>ROUND(Y11*M7,0)</f>
        <v>10158</v>
      </c>
      <c r="AA13" s="73">
        <f>ROUND(AA11*M7,0)</f>
        <v>10158</v>
      </c>
      <c r="AB13" s="73">
        <f t="shared" ref="AB13:AG13" si="12">ROUND(AB11*N7,0)</f>
        <v>9427</v>
      </c>
      <c r="AC13" s="73">
        <f t="shared" si="12"/>
        <v>8665</v>
      </c>
      <c r="AD13" s="73">
        <f t="shared" si="12"/>
        <v>9187</v>
      </c>
      <c r="AE13" s="73">
        <f t="shared" si="12"/>
        <v>8827</v>
      </c>
      <c r="AF13" s="73">
        <f t="shared" si="12"/>
        <v>9785</v>
      </c>
      <c r="AG13" s="73">
        <f t="shared" si="12"/>
        <v>10525</v>
      </c>
      <c r="AJ13" s="73" t="s">
        <v>369</v>
      </c>
      <c r="AK13" s="73">
        <f>ROUND(AK11*M7,0)</f>
        <v>10158</v>
      </c>
      <c r="AL13" s="73">
        <f>ROUND(AL11*N7,0)</f>
        <v>9427</v>
      </c>
      <c r="AM13" s="73">
        <f>ROUND(AM12*$D$74,0)</f>
        <v>686</v>
      </c>
      <c r="AN13" s="73">
        <f>ROUND(AN12*$D$74,0)</f>
        <v>720</v>
      </c>
      <c r="AO13" s="73">
        <f>ROUND(AO12*$D$74,0)</f>
        <v>686</v>
      </c>
      <c r="AP13" s="73">
        <f>ROUND(AP12*$D$74,0)</f>
        <v>754</v>
      </c>
      <c r="AQ13" s="73">
        <f>ROUND(AQ12*$D$74,0)</f>
        <v>686</v>
      </c>
      <c r="AR13" s="73" t="s">
        <v>370</v>
      </c>
      <c r="AV13" s="73">
        <f>ROUND(AV11*M7,0)</f>
        <v>10158</v>
      </c>
      <c r="AW13" s="73">
        <f>ROUND(AW11*N7,0)</f>
        <v>9427</v>
      </c>
      <c r="AX13" s="73">
        <f>ROUND(AX12*$D$74,0)</f>
        <v>686</v>
      </c>
      <c r="AY13" s="73">
        <f>ROUND(AY12*$D$74,0)</f>
        <v>720</v>
      </c>
      <c r="AZ13" s="73">
        <f>ROUND(AZ12*$D$74,0)</f>
        <v>686</v>
      </c>
      <c r="BA13" s="73">
        <f>ROUND(BA12*$D$74,0)</f>
        <v>754</v>
      </c>
      <c r="BE13" s="73" t="s">
        <v>467</v>
      </c>
      <c r="BF13" s="73">
        <f t="shared" ref="BF13:BL13" si="13">ROUND(BF7*($E$88+$E$89*BF3)*B94,0)</f>
        <v>0</v>
      </c>
      <c r="BG13" s="73">
        <f t="shared" si="13"/>
        <v>0</v>
      </c>
      <c r="BH13" s="73">
        <f t="shared" si="13"/>
        <v>4369</v>
      </c>
      <c r="BI13" s="73">
        <f t="shared" si="13"/>
        <v>5270</v>
      </c>
      <c r="BJ13" s="73">
        <f>ROUND(BJ7*($E$88+$E$89*BJ3)*F94,0)</f>
        <v>6177</v>
      </c>
      <c r="BK13" s="73">
        <f>ROUND(BK7*($E$88+$E$89*BK3)*G94,0)</f>
        <v>7089</v>
      </c>
      <c r="BL13" s="73">
        <f t="shared" si="13"/>
        <v>8005</v>
      </c>
    </row>
    <row r="14" spans="1:65" x14ac:dyDescent="0.2">
      <c r="A14" s="76" t="s">
        <v>130</v>
      </c>
      <c r="B14" s="76">
        <f>IF($C$2=1,B10,IF($C$2=2,C10,IF($C$2=3,D10,"")))</f>
        <v>6</v>
      </c>
      <c r="C14" s="76"/>
      <c r="D14" s="76"/>
      <c r="E14" s="77"/>
      <c r="F14" s="77" t="s">
        <v>138</v>
      </c>
      <c r="G14" s="77">
        <f>IF($D$2=1,G10,IF($D$2=2,H10,IF($D$2=3,I10,"")))</f>
        <v>1</v>
      </c>
      <c r="H14" s="77"/>
      <c r="I14" s="77"/>
      <c r="J14" s="73">
        <f>B13*J12</f>
        <v>1584.3729529977563</v>
      </c>
      <c r="L14" s="73" t="s">
        <v>325</v>
      </c>
      <c r="M14" s="73">
        <f>M13*$E$3</f>
        <v>47519</v>
      </c>
      <c r="N14" s="73">
        <f t="shared" ref="N14:Y14" si="14">N13*$E$3</f>
        <v>71155</v>
      </c>
      <c r="O14" s="73">
        <f t="shared" si="14"/>
        <v>85006</v>
      </c>
      <c r="P14" s="73">
        <f t="shared" si="14"/>
        <v>106533</v>
      </c>
      <c r="Q14" s="73">
        <f t="shared" si="14"/>
        <v>114779</v>
      </c>
      <c r="R14" s="73">
        <f t="shared" si="14"/>
        <v>138130</v>
      </c>
      <c r="S14" s="73">
        <f t="shared" si="14"/>
        <v>134330</v>
      </c>
      <c r="T14" s="73">
        <f t="shared" si="14"/>
        <v>141398</v>
      </c>
      <c r="U14" s="73">
        <f t="shared" si="14"/>
        <v>161861</v>
      </c>
      <c r="V14" s="73">
        <f t="shared" si="14"/>
        <v>151791</v>
      </c>
      <c r="W14" s="73">
        <f t="shared" si="14"/>
        <v>155553</v>
      </c>
      <c r="X14" s="73">
        <f t="shared" si="14"/>
        <v>190323</v>
      </c>
      <c r="Y14" s="73">
        <f t="shared" si="14"/>
        <v>193002</v>
      </c>
      <c r="AA14" s="73">
        <f>AA13*$E$3</f>
        <v>193002</v>
      </c>
      <c r="AB14" s="73">
        <f t="shared" ref="AB14:AG14" si="15">AB13*$E$3</f>
        <v>179113</v>
      </c>
      <c r="AC14" s="73">
        <f t="shared" si="15"/>
        <v>164635</v>
      </c>
      <c r="AD14" s="73">
        <f t="shared" si="15"/>
        <v>174553</v>
      </c>
      <c r="AE14" s="73">
        <f t="shared" si="15"/>
        <v>167713</v>
      </c>
      <c r="AF14" s="73">
        <f t="shared" si="15"/>
        <v>185915</v>
      </c>
      <c r="AG14" s="73">
        <f t="shared" si="15"/>
        <v>199975</v>
      </c>
      <c r="AK14" s="78">
        <f>AK13*$E$3</f>
        <v>193002</v>
      </c>
      <c r="AL14" s="78">
        <f>AL13*$E$3</f>
        <v>179113</v>
      </c>
      <c r="AM14" s="78">
        <f>AM13*$D$72*$E$3</f>
        <v>10427.200000000001</v>
      </c>
      <c r="AN14" s="78">
        <f>AN13*$D$72*$E$3</f>
        <v>10944</v>
      </c>
      <c r="AO14" s="78">
        <f>AO13*$D$72*$E$3</f>
        <v>10427.200000000001</v>
      </c>
      <c r="AP14" s="78">
        <f>AP13*$D$72*$E$3</f>
        <v>11460.800000000001</v>
      </c>
      <c r="AQ14" s="73">
        <f>AQ13*$D$72*$E$3</f>
        <v>10427.200000000001</v>
      </c>
      <c r="AR14" s="73" t="s">
        <v>371</v>
      </c>
      <c r="BE14" s="73" t="s">
        <v>468</v>
      </c>
      <c r="BF14" s="157">
        <f>BF13*$D$72*$E$3</f>
        <v>0</v>
      </c>
      <c r="BG14" s="157">
        <f t="shared" ref="BG14:BL14" si="16">BG13*$D$72*$E$3</f>
        <v>0</v>
      </c>
      <c r="BH14" s="157">
        <f t="shared" si="16"/>
        <v>66408.800000000003</v>
      </c>
      <c r="BI14" s="157">
        <f t="shared" si="16"/>
        <v>80104</v>
      </c>
      <c r="BJ14" s="157">
        <f t="shared" si="16"/>
        <v>93890.400000000009</v>
      </c>
      <c r="BK14" s="157">
        <f t="shared" si="16"/>
        <v>107752.80000000002</v>
      </c>
      <c r="BL14" s="157">
        <f t="shared" si="16"/>
        <v>121676</v>
      </c>
    </row>
    <row r="15" spans="1:65" x14ac:dyDescent="0.2">
      <c r="A15" s="76" t="s">
        <v>131</v>
      </c>
      <c r="B15" s="76" t="str">
        <f>IF($C$2=1,"",IF($C$2=2,"",IF($C$2=3,D11,"")))</f>
        <v/>
      </c>
      <c r="C15" s="76"/>
      <c r="D15" s="76"/>
      <c r="E15" s="77"/>
      <c r="F15" s="77"/>
      <c r="G15" s="77"/>
      <c r="H15" s="77"/>
      <c r="I15" s="77"/>
      <c r="L15" s="73" t="s">
        <v>139</v>
      </c>
      <c r="M15" s="73">
        <f>ROUNDUP(M13/3000,0)+2+M34+M56</f>
        <v>4</v>
      </c>
      <c r="N15" s="73">
        <f t="shared" ref="N15:X15" si="17">ROUNDUP(N13/3000,0)+2+N34+N56</f>
        <v>5</v>
      </c>
      <c r="O15" s="73">
        <f t="shared" si="17"/>
        <v>5</v>
      </c>
      <c r="P15" s="73">
        <f t="shared" si="17"/>
        <v>5</v>
      </c>
      <c r="Q15" s="73">
        <f t="shared" si="17"/>
        <v>6</v>
      </c>
      <c r="R15" s="73">
        <f t="shared" si="17"/>
        <v>6</v>
      </c>
      <c r="S15" s="73">
        <f t="shared" si="17"/>
        <v>7</v>
      </c>
      <c r="T15" s="73">
        <f t="shared" si="17"/>
        <v>7</v>
      </c>
      <c r="U15" s="73">
        <f t="shared" si="17"/>
        <v>7</v>
      </c>
      <c r="V15" s="73">
        <f t="shared" si="17"/>
        <v>7</v>
      </c>
      <c r="W15" s="73">
        <f t="shared" si="17"/>
        <v>7</v>
      </c>
      <c r="X15" s="73">
        <f t="shared" si="17"/>
        <v>8</v>
      </c>
      <c r="AA15" s="73">
        <f t="shared" ref="AA15:AF15" si="18">ROUNDUP(AA13/3000,0)+2+AA34+AA56</f>
        <v>9</v>
      </c>
      <c r="AB15" s="73">
        <f t="shared" si="18"/>
        <v>8</v>
      </c>
      <c r="AC15" s="73">
        <f t="shared" si="18"/>
        <v>7</v>
      </c>
      <c r="AD15" s="73">
        <f t="shared" si="18"/>
        <v>8</v>
      </c>
      <c r="AE15" s="73">
        <f t="shared" si="18"/>
        <v>7</v>
      </c>
      <c r="AF15" s="73">
        <f t="shared" si="18"/>
        <v>8</v>
      </c>
      <c r="AK15" s="73">
        <f>AA15</f>
        <v>9</v>
      </c>
      <c r="AL15" s="73">
        <f>AB15</f>
        <v>8</v>
      </c>
      <c r="AM15" s="73">
        <f>ROUND(AM12*$D$73,0)</f>
        <v>1114</v>
      </c>
      <c r="AN15" s="73">
        <f>ROUND(AN12*$D$73,0)</f>
        <v>1170</v>
      </c>
      <c r="AO15" s="73">
        <f>ROUND(AO12*$D$73,0)</f>
        <v>1114</v>
      </c>
      <c r="AP15" s="73">
        <f>ROUND(AP12*$D$73,0)</f>
        <v>1225</v>
      </c>
      <c r="AQ15" s="73">
        <f>ROUND(AQ12*$D$73,0)</f>
        <v>1114</v>
      </c>
      <c r="AR15" s="73" t="s">
        <v>372</v>
      </c>
      <c r="AX15" s="73">
        <f>ROUND(AX12*$D$73,0)</f>
        <v>1114</v>
      </c>
      <c r="AY15" s="73">
        <f>ROUND(AY12*$D$73,0)</f>
        <v>1170</v>
      </c>
      <c r="AZ15" s="73">
        <f>ROUND(AZ12*$D$73,0)</f>
        <v>1114</v>
      </c>
      <c r="BA15" s="73">
        <f>ROUND(BA12*$D$73,0)</f>
        <v>1225</v>
      </c>
      <c r="BE15" s="73" t="s">
        <v>396</v>
      </c>
      <c r="BF15" s="73">
        <f>(BF9+BF11+BF13)*$F$4</f>
        <v>10922.976000000001</v>
      </c>
      <c r="BG15" s="73">
        <f t="shared" ref="BG15:BL15" si="19">(BG9+BG11+BG13)*$F$4</f>
        <v>9771.7800000000007</v>
      </c>
      <c r="BH15" s="73">
        <f t="shared" si="19"/>
        <v>37835.529000000002</v>
      </c>
      <c r="BI15" s="73">
        <f t="shared" si="19"/>
        <v>42681.261000000006</v>
      </c>
      <c r="BJ15" s="73">
        <f t="shared" si="19"/>
        <v>47547.072</v>
      </c>
      <c r="BK15" s="73">
        <f t="shared" si="19"/>
        <v>52432.962000000007</v>
      </c>
      <c r="BL15" s="73">
        <f t="shared" si="19"/>
        <v>57325.545000000006</v>
      </c>
    </row>
    <row r="16" spans="1:65" x14ac:dyDescent="0.2">
      <c r="A16" s="79" t="s">
        <v>189</v>
      </c>
      <c r="B16" s="79">
        <v>6</v>
      </c>
      <c r="C16" s="79" t="s">
        <v>349</v>
      </c>
      <c r="D16" s="80">
        <f>MIN('2019 Preliminary Cash Budget'!C33:H33)</f>
        <v>7168.7614999999932</v>
      </c>
      <c r="E16" s="81" t="s">
        <v>145</v>
      </c>
      <c r="F16" s="81"/>
      <c r="G16" s="81"/>
      <c r="H16" s="81"/>
      <c r="I16" s="81"/>
      <c r="J16" s="73" t="s">
        <v>133</v>
      </c>
      <c r="L16" s="73" t="s">
        <v>142</v>
      </c>
      <c r="M16" s="73">
        <f t="shared" ref="M16:R16" si="20">M15*$J$2*160</f>
        <v>12800</v>
      </c>
      <c r="N16" s="73">
        <f t="shared" si="20"/>
        <v>16000</v>
      </c>
      <c r="O16" s="73">
        <f t="shared" si="20"/>
        <v>16000</v>
      </c>
      <c r="P16" s="73">
        <f t="shared" si="20"/>
        <v>16000</v>
      </c>
      <c r="Q16" s="73">
        <f t="shared" si="20"/>
        <v>19200</v>
      </c>
      <c r="R16" s="73">
        <f t="shared" si="20"/>
        <v>19200</v>
      </c>
      <c r="S16" s="73">
        <f t="shared" ref="S16:X16" si="21">(S15+S34)*$J$2*160</f>
        <v>25600</v>
      </c>
      <c r="T16" s="73">
        <f t="shared" si="21"/>
        <v>25600</v>
      </c>
      <c r="U16" s="73">
        <f t="shared" si="21"/>
        <v>25600</v>
      </c>
      <c r="V16" s="73">
        <f t="shared" si="21"/>
        <v>25600</v>
      </c>
      <c r="W16" s="73">
        <f t="shared" si="21"/>
        <v>25600</v>
      </c>
      <c r="X16" s="73">
        <f t="shared" si="21"/>
        <v>28800</v>
      </c>
      <c r="AA16" s="73">
        <f t="shared" ref="AA16:AF16" si="22">(AA15+AA34)*$J$2*160</f>
        <v>32000</v>
      </c>
      <c r="AB16" s="73">
        <f t="shared" si="22"/>
        <v>28800</v>
      </c>
      <c r="AC16" s="73">
        <f t="shared" si="22"/>
        <v>25600</v>
      </c>
      <c r="AD16" s="73">
        <f t="shared" si="22"/>
        <v>28800</v>
      </c>
      <c r="AE16" s="73">
        <f t="shared" si="22"/>
        <v>25600</v>
      </c>
      <c r="AF16" s="73">
        <f t="shared" si="22"/>
        <v>28800</v>
      </c>
      <c r="AK16" s="73">
        <f>AA16</f>
        <v>32000</v>
      </c>
      <c r="AL16" s="73">
        <f>AB16</f>
        <v>28800</v>
      </c>
      <c r="AM16" s="78">
        <f>AM15*$D$72*$E$3</f>
        <v>16932.8</v>
      </c>
      <c r="AN16" s="78">
        <f>AN15*$D$72*$E$3</f>
        <v>17784</v>
      </c>
      <c r="AO16" s="78">
        <f>AO15*$D$72*$E$3</f>
        <v>16932.8</v>
      </c>
      <c r="AP16" s="78">
        <f>AP15*$D$72*$E$3</f>
        <v>18620</v>
      </c>
      <c r="AQ16" s="73">
        <f>AQ15*$D$72*$E$3</f>
        <v>16932.8</v>
      </c>
      <c r="AR16" s="73" t="s">
        <v>373</v>
      </c>
      <c r="BE16" s="73" t="s">
        <v>220</v>
      </c>
      <c r="BF16" s="73">
        <f t="shared" ref="BF16:BK16" si="23">0.75*BF15+0.25*BG15</f>
        <v>10635.177</v>
      </c>
      <c r="BG16" s="73">
        <f t="shared" si="23"/>
        <v>16787.717250000002</v>
      </c>
      <c r="BH16" s="73">
        <f t="shared" si="23"/>
        <v>39046.962</v>
      </c>
      <c r="BI16" s="73">
        <f t="shared" si="23"/>
        <v>43897.71375000001</v>
      </c>
      <c r="BJ16" s="73">
        <f t="shared" si="23"/>
        <v>48768.544500000004</v>
      </c>
      <c r="BK16" s="73">
        <f t="shared" si="23"/>
        <v>53656.10775000001</v>
      </c>
      <c r="BL16" s="73">
        <f>(0.25*BL15)</f>
        <v>14331.386250000001</v>
      </c>
      <c r="BM16" s="73" t="s">
        <v>379</v>
      </c>
    </row>
    <row r="17" spans="1:65" x14ac:dyDescent="0.2">
      <c r="A17" s="79" t="s">
        <v>162</v>
      </c>
      <c r="B17" s="79">
        <f>B12+B16*G12</f>
        <v>162000</v>
      </c>
      <c r="C17" s="79" t="s">
        <v>350</v>
      </c>
      <c r="D17" s="80">
        <f>C18+C19+C20-D16</f>
        <v>284831.23849999998</v>
      </c>
      <c r="E17" s="81"/>
      <c r="F17" s="81" t="s">
        <v>79</v>
      </c>
      <c r="G17" s="81" t="s">
        <v>146</v>
      </c>
      <c r="H17" s="81" t="s">
        <v>147</v>
      </c>
      <c r="I17" s="81" t="s">
        <v>148</v>
      </c>
      <c r="J17" s="73">
        <f>(G14*G4*B14*I43*J50)/8</f>
        <v>1.0285667550000002</v>
      </c>
      <c r="L17" s="73" t="s">
        <v>143</v>
      </c>
      <c r="M17" s="73">
        <f>M13*$F$4</f>
        <v>16739.193000000003</v>
      </c>
      <c r="N17" s="73">
        <f>N13*$F$4</f>
        <v>25065.285000000003</v>
      </c>
      <c r="O17" s="73">
        <f t="shared" ref="O17:Y17" si="24">O13*$F$4</f>
        <v>29944.482000000004</v>
      </c>
      <c r="P17" s="73">
        <f t="shared" si="24"/>
        <v>37527.651000000005</v>
      </c>
      <c r="Q17" s="73">
        <f t="shared" si="24"/>
        <v>40432.413</v>
      </c>
      <c r="R17" s="73">
        <f t="shared" si="24"/>
        <v>48658.11</v>
      </c>
      <c r="S17" s="73">
        <f t="shared" si="24"/>
        <v>47319.51</v>
      </c>
      <c r="T17" s="73">
        <f t="shared" si="24"/>
        <v>49809.306000000004</v>
      </c>
      <c r="U17" s="73">
        <f t="shared" si="24"/>
        <v>57017.667000000001</v>
      </c>
      <c r="V17" s="73">
        <f t="shared" si="24"/>
        <v>53470.377</v>
      </c>
      <c r="W17" s="73">
        <f t="shared" si="24"/>
        <v>54795.591000000008</v>
      </c>
      <c r="X17" s="73">
        <f t="shared" si="24"/>
        <v>67043.781000000003</v>
      </c>
      <c r="Y17" s="73">
        <f t="shared" si="24"/>
        <v>67987.494000000006</v>
      </c>
      <c r="Z17" s="73" t="s">
        <v>224</v>
      </c>
      <c r="AA17" s="73">
        <f t="shared" ref="AA17:AG17" si="25">AA13*$F$4</f>
        <v>67987.494000000006</v>
      </c>
      <c r="AB17" s="73">
        <f t="shared" si="25"/>
        <v>63094.911000000007</v>
      </c>
      <c r="AC17" s="73">
        <f t="shared" si="25"/>
        <v>57994.845000000001</v>
      </c>
      <c r="AD17" s="73">
        <f t="shared" si="25"/>
        <v>61488.591000000008</v>
      </c>
      <c r="AE17" s="73">
        <f t="shared" si="25"/>
        <v>59079.111000000004</v>
      </c>
      <c r="AF17" s="73">
        <f t="shared" si="25"/>
        <v>65491.005000000005</v>
      </c>
      <c r="AG17" s="73">
        <f t="shared" si="25"/>
        <v>70443.825000000012</v>
      </c>
      <c r="AK17" s="73">
        <f>AK13*$F$4</f>
        <v>67987.494000000006</v>
      </c>
      <c r="AL17" s="73">
        <f>AL13*$F$4</f>
        <v>63094.911000000007</v>
      </c>
      <c r="AM17" s="73">
        <f>(AM13+AM15)*$F$4</f>
        <v>12047.400000000001</v>
      </c>
      <c r="AN17" s="73">
        <f>(AN13+AN15)*$F$4</f>
        <v>12649.77</v>
      </c>
      <c r="AO17" s="73">
        <f>(AO13+AO15)*$F$4</f>
        <v>12047.400000000001</v>
      </c>
      <c r="AP17" s="73">
        <f>(AP13+AP15)*$F$4</f>
        <v>13245.447</v>
      </c>
      <c r="AQ17" s="72"/>
      <c r="AR17" s="73" t="s">
        <v>396</v>
      </c>
      <c r="BL17" s="73">
        <f>SUM(BF15:BK15)</f>
        <v>201191.58000000002</v>
      </c>
    </row>
    <row r="18" spans="1:65" x14ac:dyDescent="0.2">
      <c r="A18" s="79" t="s">
        <v>164</v>
      </c>
      <c r="B18" s="79">
        <v>150</v>
      </c>
      <c r="C18" s="79">
        <f>B18*1000</f>
        <v>150000</v>
      </c>
      <c r="D18" s="79">
        <f>ROUNDUP(D17,0)</f>
        <v>284832</v>
      </c>
      <c r="E18" s="81" t="s">
        <v>76</v>
      </c>
      <c r="F18" s="81">
        <v>21000</v>
      </c>
      <c r="G18" s="81">
        <v>17000</v>
      </c>
      <c r="H18" s="81">
        <v>32000</v>
      </c>
      <c r="I18" s="81">
        <v>13000</v>
      </c>
      <c r="J18" s="73" t="s">
        <v>140</v>
      </c>
      <c r="L18" s="73" t="s">
        <v>220</v>
      </c>
      <c r="M18" s="73">
        <f>M17+0.25*N17</f>
        <v>23005.514250000004</v>
      </c>
      <c r="N18" s="73">
        <f>0.75*N17+0.25*O17</f>
        <v>26285.084250000004</v>
      </c>
      <c r="O18" s="73">
        <f t="shared" ref="O18:W18" si="26">0.75*O17+0.25*P17</f>
        <v>31840.274250000002</v>
      </c>
      <c r="P18" s="73">
        <f t="shared" si="26"/>
        <v>38253.841500000002</v>
      </c>
      <c r="Q18" s="73">
        <f t="shared" si="26"/>
        <v>42488.837249999997</v>
      </c>
      <c r="R18" s="73">
        <f t="shared" si="26"/>
        <v>48323.460000000006</v>
      </c>
      <c r="S18" s="73">
        <f t="shared" si="26"/>
        <v>47941.959000000003</v>
      </c>
      <c r="T18" s="73">
        <f t="shared" si="26"/>
        <v>51611.396250000005</v>
      </c>
      <c r="U18" s="73">
        <f t="shared" si="26"/>
        <v>56130.844499999999</v>
      </c>
      <c r="V18" s="73">
        <f t="shared" si="26"/>
        <v>53801.680500000002</v>
      </c>
      <c r="W18" s="73">
        <f t="shared" si="26"/>
        <v>57857.638500000001</v>
      </c>
      <c r="X18" s="73">
        <f>0.75*X17+0.25*Y17</f>
        <v>67279.70925</v>
      </c>
      <c r="Y18" s="73">
        <f>0.25*Y17</f>
        <v>16996.873500000002</v>
      </c>
      <c r="Z18" s="73" t="s">
        <v>221</v>
      </c>
      <c r="AA18" s="73">
        <f t="shared" ref="AA18:AF18" si="27">0.75*AA17+0.25*AB17</f>
        <v>66764.34825000001</v>
      </c>
      <c r="AB18" s="73">
        <f t="shared" si="27"/>
        <v>61819.894500000002</v>
      </c>
      <c r="AC18" s="73">
        <f t="shared" si="27"/>
        <v>58868.281500000005</v>
      </c>
      <c r="AD18" s="73">
        <f t="shared" si="27"/>
        <v>60886.221000000005</v>
      </c>
      <c r="AE18" s="73">
        <f t="shared" si="27"/>
        <v>60682.084500000004</v>
      </c>
      <c r="AF18" s="73">
        <f t="shared" si="27"/>
        <v>66729.210000000006</v>
      </c>
      <c r="AG18" s="73">
        <f>0.25*AG17</f>
        <v>17610.956250000003</v>
      </c>
      <c r="AH18" s="73" t="s">
        <v>221</v>
      </c>
      <c r="AK18" s="73">
        <f>0.75*AK17+0.25*AL17</f>
        <v>66764.34825000001</v>
      </c>
      <c r="AL18" s="73">
        <f>0.75*AL17+0.25*AM17</f>
        <v>50333.03325</v>
      </c>
      <c r="AM18" s="73">
        <f>(0.75*AM17+0.25*AN17)</f>
        <v>12197.9925</v>
      </c>
      <c r="AN18" s="73">
        <f>(0.75*AN17+0.25*AO17)</f>
        <v>12499.1775</v>
      </c>
      <c r="AO18" s="73">
        <f>(0.75*AO17+0.25*AP17)</f>
        <v>12346.911750000001</v>
      </c>
      <c r="AP18" s="73">
        <f>(0.75*AP17+0.25*BF15)</f>
        <v>12664.829250000001</v>
      </c>
      <c r="AQ18" s="159">
        <f>0.75*AP17</f>
        <v>9934.0852500000001</v>
      </c>
      <c r="AR18" s="159" t="s">
        <v>508</v>
      </c>
      <c r="AS18" s="159"/>
      <c r="AT18" s="159"/>
      <c r="BC18" s="73" t="s">
        <v>414</v>
      </c>
      <c r="BF18" s="73">
        <f t="shared" ref="BF18:BL18" si="28">IF(AND($F$56=1,$F$66=2,B94=0),0,ROUNDUP((BF9+BF11+BF13)/3000,0)+2)</f>
        <v>3</v>
      </c>
      <c r="BG18" s="73">
        <f t="shared" si="28"/>
        <v>3</v>
      </c>
      <c r="BH18" s="73">
        <f t="shared" si="28"/>
        <v>4</v>
      </c>
      <c r="BI18" s="73">
        <f t="shared" si="28"/>
        <v>5</v>
      </c>
      <c r="BJ18" s="73">
        <f t="shared" si="28"/>
        <v>5</v>
      </c>
      <c r="BK18" s="73">
        <f t="shared" si="28"/>
        <v>5</v>
      </c>
      <c r="BL18" s="73">
        <f t="shared" si="28"/>
        <v>5</v>
      </c>
      <c r="BM18" s="73" t="s">
        <v>379</v>
      </c>
    </row>
    <row r="19" spans="1:65" x14ac:dyDescent="0.2">
      <c r="A19" s="79" t="s">
        <v>165</v>
      </c>
      <c r="B19" s="79">
        <v>142</v>
      </c>
      <c r="C19" s="79">
        <f>B19*1000</f>
        <v>142000</v>
      </c>
      <c r="D19" s="79"/>
      <c r="E19" s="81" t="s">
        <v>77</v>
      </c>
      <c r="F19" s="81">
        <v>15</v>
      </c>
      <c r="G19" s="81">
        <v>10</v>
      </c>
      <c r="H19" s="81">
        <v>17</v>
      </c>
      <c r="I19" s="81">
        <v>8</v>
      </c>
      <c r="J19" s="73">
        <f>J14*J17</f>
        <v>1629.6333469746701</v>
      </c>
      <c r="L19" s="73" t="s">
        <v>144</v>
      </c>
      <c r="M19" s="73">
        <f>ROUNDUP(M13/$H$25,0)</f>
        <v>1</v>
      </c>
      <c r="N19" s="73">
        <f t="shared" ref="N19:X19" si="29">ROUNDUP(N13/$H$25,0)</f>
        <v>1</v>
      </c>
      <c r="O19" s="73">
        <f t="shared" si="29"/>
        <v>1</v>
      </c>
      <c r="P19" s="73">
        <f t="shared" si="29"/>
        <v>1</v>
      </c>
      <c r="Q19" s="73">
        <f t="shared" si="29"/>
        <v>1</v>
      </c>
      <c r="R19" s="73">
        <f t="shared" si="29"/>
        <v>1</v>
      </c>
      <c r="S19" s="73">
        <f t="shared" si="29"/>
        <v>1</v>
      </c>
      <c r="T19" s="73">
        <f t="shared" si="29"/>
        <v>1</v>
      </c>
      <c r="U19" s="73">
        <f t="shared" si="29"/>
        <v>2</v>
      </c>
      <c r="V19" s="73">
        <f t="shared" si="29"/>
        <v>2</v>
      </c>
      <c r="W19" s="73">
        <f t="shared" si="29"/>
        <v>2</v>
      </c>
      <c r="X19" s="73">
        <f t="shared" si="29"/>
        <v>2</v>
      </c>
      <c r="Y19" s="73">
        <f>SUM(M17:X17)</f>
        <v>527823.36600000004</v>
      </c>
      <c r="Z19" s="73" t="s">
        <v>223</v>
      </c>
      <c r="AA19" s="73">
        <f t="shared" ref="AA19:AF19" si="30">ROUNDUP(AA13/$H$25,0)</f>
        <v>2</v>
      </c>
      <c r="AB19" s="73">
        <f t="shared" si="30"/>
        <v>2</v>
      </c>
      <c r="AC19" s="73">
        <f t="shared" si="30"/>
        <v>2</v>
      </c>
      <c r="AD19" s="73">
        <f t="shared" si="30"/>
        <v>2</v>
      </c>
      <c r="AE19" s="73">
        <f t="shared" si="30"/>
        <v>2</v>
      </c>
      <c r="AF19" s="73">
        <f t="shared" si="30"/>
        <v>2</v>
      </c>
      <c r="AK19" s="73">
        <f t="shared" ref="AK19:AL25" si="31">AA19</f>
        <v>2</v>
      </c>
      <c r="AL19" s="73">
        <f t="shared" si="31"/>
        <v>2</v>
      </c>
      <c r="AQ19" s="73">
        <f>SUM(AK17:AP17)</f>
        <v>181072.42200000002</v>
      </c>
      <c r="AR19" s="73" t="s">
        <v>395</v>
      </c>
      <c r="BC19" s="82" t="s">
        <v>385</v>
      </c>
      <c r="BF19" s="73">
        <f>BF18+BF34+BF56+2</f>
        <v>7</v>
      </c>
      <c r="BG19" s="73">
        <f t="shared" ref="BG19:BL19" si="32">BG18+BG34+BG56+2</f>
        <v>7</v>
      </c>
      <c r="BH19" s="73">
        <f t="shared" si="32"/>
        <v>8</v>
      </c>
      <c r="BI19" s="73">
        <f t="shared" si="32"/>
        <v>10</v>
      </c>
      <c r="BJ19" s="73">
        <f t="shared" si="32"/>
        <v>10</v>
      </c>
      <c r="BK19" s="73">
        <f t="shared" si="32"/>
        <v>10</v>
      </c>
      <c r="BL19" s="73">
        <f t="shared" si="32"/>
        <v>7</v>
      </c>
      <c r="BM19" s="73" t="s">
        <v>395</v>
      </c>
    </row>
    <row r="20" spans="1:65" x14ac:dyDescent="0.2">
      <c r="A20" s="79" t="s">
        <v>166</v>
      </c>
      <c r="B20" s="79">
        <v>0</v>
      </c>
      <c r="C20" s="79">
        <f>B20*1000</f>
        <v>0</v>
      </c>
      <c r="D20" s="79"/>
      <c r="E20" s="81" t="s">
        <v>149</v>
      </c>
      <c r="F20" s="81">
        <v>6000</v>
      </c>
      <c r="G20" s="81">
        <v>5500</v>
      </c>
      <c r="H20" s="81">
        <v>7500</v>
      </c>
      <c r="I20" s="81">
        <v>4000</v>
      </c>
      <c r="L20" s="73" t="s">
        <v>156</v>
      </c>
      <c r="M20" s="73">
        <f>M19</f>
        <v>1</v>
      </c>
      <c r="N20" s="73">
        <f>IF(M20&gt;N19,M20,N19)</f>
        <v>1</v>
      </c>
      <c r="O20" s="73">
        <f t="shared" ref="O20:X20" si="33">IF(N20&gt;O19,N20,O19)</f>
        <v>1</v>
      </c>
      <c r="P20" s="73">
        <f t="shared" si="33"/>
        <v>1</v>
      </c>
      <c r="Q20" s="73">
        <f t="shared" si="33"/>
        <v>1</v>
      </c>
      <c r="R20" s="73">
        <f t="shared" si="33"/>
        <v>1</v>
      </c>
      <c r="S20" s="73">
        <f t="shared" si="33"/>
        <v>1</v>
      </c>
      <c r="T20" s="73">
        <f t="shared" si="33"/>
        <v>1</v>
      </c>
      <c r="U20" s="73">
        <f t="shared" si="33"/>
        <v>2</v>
      </c>
      <c r="V20" s="73">
        <f t="shared" si="33"/>
        <v>2</v>
      </c>
      <c r="W20" s="73">
        <f t="shared" si="33"/>
        <v>2</v>
      </c>
      <c r="X20" s="73">
        <f t="shared" si="33"/>
        <v>2</v>
      </c>
      <c r="AA20" s="73">
        <f>X20</f>
        <v>2</v>
      </c>
      <c r="AB20" s="73">
        <f>IF(AA20&gt;AB19,AA20,AB19)</f>
        <v>2</v>
      </c>
      <c r="AC20" s="73">
        <f>IF(AB20&gt;AC19,AB20,AC19)</f>
        <v>2</v>
      </c>
      <c r="AD20" s="73">
        <f>IF(AC20&gt;AD19,AC20,AD19)</f>
        <v>2</v>
      </c>
      <c r="AE20" s="73">
        <f>IF(AD20&gt;AE19,AD20,AE19)</f>
        <v>2</v>
      </c>
      <c r="AF20" s="73">
        <f>IF(AE20&gt;AF19,AE20,AF19)</f>
        <v>2</v>
      </c>
      <c r="AK20" s="73">
        <f t="shared" si="31"/>
        <v>2</v>
      </c>
      <c r="AL20" s="73">
        <f t="shared" si="31"/>
        <v>2</v>
      </c>
      <c r="AM20" s="82">
        <f>IF(AND($F$56=1,$F$66=2),0,ROUNDUP((AM13+AM15)/3000,0)+2)</f>
        <v>3</v>
      </c>
      <c r="AN20" s="82">
        <f>IF(AND($F$56=1,$F$66=2),0,ROUNDUP((AN13+AN15)/3000,0)+2)</f>
        <v>3</v>
      </c>
      <c r="AO20" s="82">
        <f>IF(AND($F$56=1,$F$66=2),0,ROUNDUP((AO13+AO15)/3000,0)+2)</f>
        <v>3</v>
      </c>
      <c r="AP20" s="82">
        <f>IF(AND($F$56=1,$F$66=2),0,ROUNDUP((AP13+AP15)/3000,0)+2)</f>
        <v>3</v>
      </c>
      <c r="AQ20" s="82"/>
      <c r="AR20" s="82" t="s">
        <v>384</v>
      </c>
      <c r="AV20" s="73">
        <f>AA20</f>
        <v>2</v>
      </c>
      <c r="AW20" s="73">
        <f>AB20</f>
        <v>2</v>
      </c>
      <c r="AX20" s="73">
        <f>IF(AND($F$56=1,$F$66=2),0,ROUNDUP((AX13+AX15)/3000,0)+2)</f>
        <v>3</v>
      </c>
      <c r="AY20" s="73">
        <f>IF(AND($F$56=1,$F$66=2),0,ROUNDUP((AY13+AY15)/3000,0)+2)</f>
        <v>3</v>
      </c>
      <c r="AZ20" s="73">
        <f>IF(AND($F$56=1,$F$66=2),0,ROUNDUP((AZ13+AZ15)/3000,0)+2)</f>
        <v>3</v>
      </c>
      <c r="BA20" s="73">
        <f>IF(AND($F$56=1,$F$66=2),0,ROUNDUP((BA13+BA15)/3000,0)+2)</f>
        <v>3</v>
      </c>
      <c r="BC20" s="73" t="s">
        <v>486</v>
      </c>
      <c r="BF20" s="73">
        <f t="shared" ref="BF20:BK20" si="34">MAX(BF19,$H$58)</f>
        <v>9</v>
      </c>
      <c r="BG20" s="73">
        <f t="shared" si="34"/>
        <v>9</v>
      </c>
      <c r="BH20" s="73">
        <f t="shared" si="34"/>
        <v>9</v>
      </c>
      <c r="BI20" s="73">
        <f t="shared" si="34"/>
        <v>10</v>
      </c>
      <c r="BJ20" s="73">
        <f t="shared" si="34"/>
        <v>10</v>
      </c>
      <c r="BK20" s="73">
        <f t="shared" si="34"/>
        <v>10</v>
      </c>
    </row>
    <row r="21" spans="1:65" x14ac:dyDescent="0.2">
      <c r="A21" s="79"/>
      <c r="B21" s="79"/>
      <c r="C21" s="79"/>
      <c r="D21" s="79"/>
      <c r="E21" s="81" t="s">
        <v>150</v>
      </c>
      <c r="F21" s="81">
        <v>1200</v>
      </c>
      <c r="G21" s="81">
        <v>1000</v>
      </c>
      <c r="H21" s="81">
        <v>1100</v>
      </c>
      <c r="I21" s="81">
        <v>800</v>
      </c>
      <c r="J21" s="73" t="s">
        <v>155</v>
      </c>
      <c r="L21" s="73" t="s">
        <v>157</v>
      </c>
      <c r="M21" s="73">
        <f>M20</f>
        <v>1</v>
      </c>
      <c r="N21" s="73">
        <f>N20-M20</f>
        <v>0</v>
      </c>
      <c r="O21" s="73">
        <f t="shared" ref="O21:X21" si="35">O20-N20</f>
        <v>0</v>
      </c>
      <c r="P21" s="73">
        <f t="shared" si="35"/>
        <v>0</v>
      </c>
      <c r="Q21" s="73">
        <f t="shared" si="35"/>
        <v>0</v>
      </c>
      <c r="R21" s="73">
        <f t="shared" si="35"/>
        <v>0</v>
      </c>
      <c r="S21" s="73">
        <f t="shared" si="35"/>
        <v>0</v>
      </c>
      <c r="T21" s="73">
        <f t="shared" si="35"/>
        <v>0</v>
      </c>
      <c r="U21" s="73">
        <f t="shared" si="35"/>
        <v>1</v>
      </c>
      <c r="V21" s="73">
        <f t="shared" si="35"/>
        <v>0</v>
      </c>
      <c r="W21" s="73">
        <f t="shared" si="35"/>
        <v>0</v>
      </c>
      <c r="X21" s="73">
        <f t="shared" si="35"/>
        <v>0</v>
      </c>
      <c r="AA21" s="73">
        <f>AA20-X20</f>
        <v>0</v>
      </c>
      <c r="AB21" s="73">
        <f>AB20-AA20</f>
        <v>0</v>
      </c>
      <c r="AC21" s="73">
        <f>AC20-AB20</f>
        <v>0</v>
      </c>
      <c r="AD21" s="73">
        <f>AD20-AC20</f>
        <v>0</v>
      </c>
      <c r="AE21" s="73">
        <f>AE20-AD20</f>
        <v>0</v>
      </c>
      <c r="AF21" s="73">
        <f>AF20-AE20</f>
        <v>0</v>
      </c>
      <c r="AK21" s="73">
        <f t="shared" si="31"/>
        <v>0</v>
      </c>
      <c r="AL21" s="73">
        <f t="shared" si="31"/>
        <v>0</v>
      </c>
      <c r="AM21" s="82">
        <f>AM20+AM34+AM56</f>
        <v>5</v>
      </c>
      <c r="AN21" s="82">
        <f>AN20+AN34+AN56</f>
        <v>5</v>
      </c>
      <c r="AO21" s="82">
        <f>AO20+AO34+AO56</f>
        <v>5</v>
      </c>
      <c r="AP21" s="82">
        <f>AP20+AP34+AP56</f>
        <v>5</v>
      </c>
      <c r="AQ21" s="82"/>
      <c r="AR21" s="82" t="s">
        <v>385</v>
      </c>
      <c r="AX21" s="73">
        <f>AX20+AX34+AX56</f>
        <v>5</v>
      </c>
      <c r="AY21" s="73">
        <f>AY20+AY34+AY56</f>
        <v>5</v>
      </c>
      <c r="AZ21" s="73">
        <f>AZ20+AZ34+AZ56</f>
        <v>5</v>
      </c>
      <c r="BA21" s="73">
        <f>BA20+BA34+BA56</f>
        <v>5</v>
      </c>
      <c r="BC21" s="73" t="s">
        <v>472</v>
      </c>
      <c r="BF21" s="73">
        <f t="shared" ref="BF21:BL21" si="36">IF(B94=1,$B$68,$D$68)</f>
        <v>3200</v>
      </c>
      <c r="BG21" s="73">
        <f t="shared" si="36"/>
        <v>3200</v>
      </c>
      <c r="BH21" s="73">
        <f t="shared" si="36"/>
        <v>3200</v>
      </c>
      <c r="BI21" s="73">
        <f t="shared" si="36"/>
        <v>3200</v>
      </c>
      <c r="BJ21" s="73">
        <f t="shared" si="36"/>
        <v>3200</v>
      </c>
      <c r="BK21" s="73">
        <f t="shared" si="36"/>
        <v>3200</v>
      </c>
      <c r="BL21" s="73">
        <f t="shared" si="36"/>
        <v>3200</v>
      </c>
    </row>
    <row r="22" spans="1:65" x14ac:dyDescent="0.2">
      <c r="A22" s="79" t="s">
        <v>167</v>
      </c>
      <c r="B22" s="79">
        <f>ROUND((B20/(B18+B20))*100,2)</f>
        <v>0</v>
      </c>
      <c r="C22" s="79">
        <f>100-B22</f>
        <v>100</v>
      </c>
      <c r="D22" s="79"/>
      <c r="E22" s="81"/>
      <c r="F22" s="81">
        <v>3</v>
      </c>
      <c r="G22" s="81"/>
      <c r="H22" s="81"/>
      <c r="I22" s="81"/>
      <c r="J22" s="73">
        <f>ROUNDUP(M13/H25,0)</f>
        <v>1</v>
      </c>
      <c r="L22" s="73" t="s">
        <v>158</v>
      </c>
      <c r="M22" s="73">
        <f>IF(M21*$H$23=0,"",M21*$H$23)</f>
        <v>32000</v>
      </c>
      <c r="N22" s="73">
        <f t="shared" ref="N22:X22" si="37">N21*$H$23</f>
        <v>0</v>
      </c>
      <c r="O22" s="73">
        <f t="shared" si="37"/>
        <v>0</v>
      </c>
      <c r="P22" s="73">
        <f t="shared" si="37"/>
        <v>0</v>
      </c>
      <c r="Q22" s="73">
        <f t="shared" si="37"/>
        <v>0</v>
      </c>
      <c r="R22" s="73">
        <f t="shared" si="37"/>
        <v>0</v>
      </c>
      <c r="S22" s="73">
        <f t="shared" si="37"/>
        <v>0</v>
      </c>
      <c r="T22" s="73">
        <f t="shared" si="37"/>
        <v>0</v>
      </c>
      <c r="U22" s="73">
        <f t="shared" si="37"/>
        <v>32000</v>
      </c>
      <c r="V22" s="73">
        <f t="shared" si="37"/>
        <v>0</v>
      </c>
      <c r="W22" s="73">
        <f t="shared" si="37"/>
        <v>0</v>
      </c>
      <c r="X22" s="73">
        <f t="shared" si="37"/>
        <v>0</v>
      </c>
      <c r="Y22" s="73">
        <f>SUM(M22:X22)</f>
        <v>64000</v>
      </c>
      <c r="AA22" s="73">
        <f t="shared" ref="AA22:AF22" si="38">AA21*$H$23</f>
        <v>0</v>
      </c>
      <c r="AB22" s="73">
        <f t="shared" si="38"/>
        <v>0</v>
      </c>
      <c r="AC22" s="73">
        <f t="shared" si="38"/>
        <v>0</v>
      </c>
      <c r="AD22" s="73">
        <f t="shared" si="38"/>
        <v>0</v>
      </c>
      <c r="AE22" s="73">
        <f t="shared" si="38"/>
        <v>0</v>
      </c>
      <c r="AF22" s="73">
        <f t="shared" si="38"/>
        <v>0</v>
      </c>
      <c r="AK22" s="73">
        <f t="shared" si="31"/>
        <v>0</v>
      </c>
      <c r="AL22" s="73">
        <f t="shared" si="31"/>
        <v>0</v>
      </c>
      <c r="BC22" s="73" t="s">
        <v>487</v>
      </c>
      <c r="BF22" s="73">
        <f t="shared" ref="BF22:BK22" si="39">BF20*$J$2*160</f>
        <v>28800</v>
      </c>
      <c r="BG22" s="73">
        <f t="shared" si="39"/>
        <v>28800</v>
      </c>
      <c r="BH22" s="73">
        <f t="shared" si="39"/>
        <v>28800</v>
      </c>
      <c r="BI22" s="73">
        <f t="shared" si="39"/>
        <v>32000</v>
      </c>
      <c r="BJ22" s="73">
        <f t="shared" si="39"/>
        <v>32000</v>
      </c>
      <c r="BK22" s="73">
        <f t="shared" si="39"/>
        <v>32000</v>
      </c>
    </row>
    <row r="23" spans="1:65" x14ac:dyDescent="0.2">
      <c r="A23" s="79" t="s">
        <v>177</v>
      </c>
      <c r="B23" s="79">
        <f>ROUND((C19*B28/100),2)</f>
        <v>7100</v>
      </c>
      <c r="C23" s="79"/>
      <c r="D23" s="79"/>
      <c r="E23" s="81" t="s">
        <v>79</v>
      </c>
      <c r="F23" s="81"/>
      <c r="G23" s="81" t="s">
        <v>151</v>
      </c>
      <c r="H23" s="81">
        <f>IF($F$22=1,F18,IF($F$22=2,G18,IF($F$22=3,H18,IF($F$22=4,I18,""))))</f>
        <v>32000</v>
      </c>
      <c r="I23" s="81"/>
      <c r="L23" s="73" t="s">
        <v>159</v>
      </c>
      <c r="N23" s="73">
        <f>M20*$H$26+$H$34</f>
        <v>2100</v>
      </c>
      <c r="O23" s="73">
        <f t="shared" ref="O23:X23" si="40">N20*$H$26+$H$34</f>
        <v>2100</v>
      </c>
      <c r="P23" s="73">
        <f t="shared" si="40"/>
        <v>2100</v>
      </c>
      <c r="Q23" s="73">
        <f t="shared" si="40"/>
        <v>2100</v>
      </c>
      <c r="R23" s="73">
        <f t="shared" si="40"/>
        <v>2100</v>
      </c>
      <c r="S23" s="73">
        <f t="shared" si="40"/>
        <v>2100</v>
      </c>
      <c r="T23" s="73">
        <f t="shared" si="40"/>
        <v>2100</v>
      </c>
      <c r="U23" s="73">
        <f t="shared" si="40"/>
        <v>2100</v>
      </c>
      <c r="V23" s="73">
        <f t="shared" si="40"/>
        <v>3200</v>
      </c>
      <c r="W23" s="73">
        <f t="shared" si="40"/>
        <v>3200</v>
      </c>
      <c r="X23" s="73">
        <f t="shared" si="40"/>
        <v>3200</v>
      </c>
      <c r="Y23" s="73">
        <f>X20*$H$26+$H$34</f>
        <v>3200</v>
      </c>
      <c r="Z23" s="73" t="s">
        <v>219</v>
      </c>
      <c r="AA23" s="73">
        <f>X20*$H$26+$H$34</f>
        <v>3200</v>
      </c>
      <c r="AB23" s="73">
        <f t="shared" ref="AB23:AG23" si="41">AA20*$H$26+$H$34</f>
        <v>3200</v>
      </c>
      <c r="AC23" s="73">
        <f t="shared" si="41"/>
        <v>3200</v>
      </c>
      <c r="AD23" s="73">
        <f t="shared" si="41"/>
        <v>3200</v>
      </c>
      <c r="AE23" s="73">
        <f t="shared" si="41"/>
        <v>3200</v>
      </c>
      <c r="AF23" s="73">
        <f t="shared" si="41"/>
        <v>3200</v>
      </c>
      <c r="AG23" s="73">
        <f t="shared" si="41"/>
        <v>3200</v>
      </c>
      <c r="AH23" s="73" t="s">
        <v>342</v>
      </c>
      <c r="AK23" s="73">
        <f t="shared" si="31"/>
        <v>3200</v>
      </c>
      <c r="AL23" s="73">
        <f t="shared" si="31"/>
        <v>3200</v>
      </c>
      <c r="AM23" s="73">
        <f>AC23</f>
        <v>3200</v>
      </c>
      <c r="AQ23" s="73" t="s">
        <v>377</v>
      </c>
      <c r="BC23" s="73" t="s">
        <v>473</v>
      </c>
      <c r="BE23" s="73">
        <f>AH25*2</f>
        <v>3764.705882352941</v>
      </c>
    </row>
    <row r="24" spans="1:65" x14ac:dyDescent="0.2">
      <c r="A24" s="79" t="s">
        <v>169</v>
      </c>
      <c r="B24" s="79">
        <f>C19*0.005</f>
        <v>710</v>
      </c>
      <c r="C24" s="79"/>
      <c r="D24" s="79"/>
      <c r="E24" s="81" t="s">
        <v>146</v>
      </c>
      <c r="F24" s="81"/>
      <c r="G24" s="81" t="s">
        <v>152</v>
      </c>
      <c r="H24" s="81">
        <f>IF($F$22=1,F19,IF($F$22=2,G19,IF($F$22=3,H19,IF($F$22=4,I19,""))))</f>
        <v>17</v>
      </c>
      <c r="I24" s="81"/>
      <c r="M24" s="73">
        <v>12</v>
      </c>
      <c r="N24" s="73">
        <v>11</v>
      </c>
      <c r="O24" s="73">
        <v>10</v>
      </c>
      <c r="P24" s="73">
        <v>9</v>
      </c>
      <c r="Q24" s="73">
        <v>8</v>
      </c>
      <c r="R24" s="73">
        <v>7</v>
      </c>
      <c r="S24" s="73">
        <v>6</v>
      </c>
      <c r="T24" s="73">
        <v>5</v>
      </c>
      <c r="U24" s="73">
        <v>4</v>
      </c>
      <c r="V24" s="73">
        <v>3</v>
      </c>
      <c r="W24" s="73">
        <v>2</v>
      </c>
      <c r="X24" s="73">
        <v>1</v>
      </c>
      <c r="AA24" s="73">
        <v>6</v>
      </c>
      <c r="AB24" s="73">
        <v>5</v>
      </c>
      <c r="AC24" s="73">
        <v>4</v>
      </c>
      <c r="AD24" s="73">
        <v>3</v>
      </c>
      <c r="AE24" s="73">
        <v>2</v>
      </c>
      <c r="AF24" s="73">
        <v>1</v>
      </c>
      <c r="AK24" s="73">
        <f t="shared" si="31"/>
        <v>6</v>
      </c>
      <c r="AL24" s="73">
        <f t="shared" si="31"/>
        <v>5</v>
      </c>
      <c r="AM24" s="73">
        <v>4</v>
      </c>
      <c r="AN24" s="73">
        <v>3</v>
      </c>
      <c r="AO24" s="73">
        <v>2</v>
      </c>
      <c r="AP24" s="73">
        <v>1</v>
      </c>
      <c r="BC24" s="73" t="s">
        <v>405</v>
      </c>
      <c r="BF24" s="73">
        <f>ROUND(BF9*$D$75,0)</f>
        <v>622</v>
      </c>
      <c r="BG24" s="73">
        <f t="shared" ref="BG24:BL24" si="42">ROUND(BG9*$D$75,0)</f>
        <v>556</v>
      </c>
      <c r="BH24" s="73">
        <f t="shared" si="42"/>
        <v>489</v>
      </c>
      <c r="BI24" s="73">
        <f t="shared" si="42"/>
        <v>422</v>
      </c>
      <c r="BJ24" s="73">
        <f t="shared" si="42"/>
        <v>353</v>
      </c>
      <c r="BK24" s="73">
        <f t="shared" si="42"/>
        <v>284</v>
      </c>
      <c r="BL24" s="73">
        <f t="shared" si="42"/>
        <v>213</v>
      </c>
    </row>
    <row r="25" spans="1:65" x14ac:dyDescent="0.2">
      <c r="A25" s="79" t="s">
        <v>168</v>
      </c>
      <c r="B25" s="79">
        <f>IF(D18-C18-C19-C20&gt;0,D18-C18-C19-C20,0)</f>
        <v>0</v>
      </c>
      <c r="C25" s="79"/>
      <c r="D25" s="79"/>
      <c r="E25" s="81" t="s">
        <v>147</v>
      </c>
      <c r="F25" s="81"/>
      <c r="G25" s="81" t="s">
        <v>153</v>
      </c>
      <c r="H25" s="81">
        <f>IF($F$22=1,F20,IF($F$22=2,G20,IF($F$22=3,H20,IF($F$22=4,I20,""))))</f>
        <v>7500</v>
      </c>
      <c r="I25" s="81"/>
      <c r="L25" s="73" t="s">
        <v>37</v>
      </c>
      <c r="M25" s="73">
        <f t="shared" ref="M25:W25" si="43">(M22/$H$24)*(M24/12)</f>
        <v>1882.3529411764705</v>
      </c>
      <c r="N25" s="73">
        <f t="shared" si="43"/>
        <v>0</v>
      </c>
      <c r="O25" s="73">
        <f t="shared" si="43"/>
        <v>0</v>
      </c>
      <c r="P25" s="73">
        <f t="shared" si="43"/>
        <v>0</v>
      </c>
      <c r="Q25" s="73">
        <f t="shared" si="43"/>
        <v>0</v>
      </c>
      <c r="R25" s="73">
        <f t="shared" si="43"/>
        <v>0</v>
      </c>
      <c r="S25" s="73">
        <f t="shared" si="43"/>
        <v>0</v>
      </c>
      <c r="T25" s="73">
        <f t="shared" si="43"/>
        <v>0</v>
      </c>
      <c r="U25" s="73">
        <f t="shared" si="43"/>
        <v>627.45098039215679</v>
      </c>
      <c r="V25" s="73">
        <f t="shared" si="43"/>
        <v>0</v>
      </c>
      <c r="W25" s="73">
        <f t="shared" si="43"/>
        <v>0</v>
      </c>
      <c r="X25" s="73">
        <f>ROUND((X22/$H$24)*(X24/12),2)</f>
        <v>0</v>
      </c>
      <c r="Y25" s="73">
        <f>ROUND(SUM(M25:X25),2)</f>
        <v>2509.8000000000002</v>
      </c>
      <c r="AA25" s="73">
        <f t="shared" ref="AA25:AF25" si="44">(AA22/$H$24)*(AA24/12)</f>
        <v>0</v>
      </c>
      <c r="AB25" s="73">
        <f t="shared" si="44"/>
        <v>0</v>
      </c>
      <c r="AC25" s="73">
        <f t="shared" si="44"/>
        <v>0</v>
      </c>
      <c r="AD25" s="73">
        <f t="shared" si="44"/>
        <v>0</v>
      </c>
      <c r="AE25" s="73">
        <f t="shared" si="44"/>
        <v>0</v>
      </c>
      <c r="AF25" s="73">
        <f t="shared" si="44"/>
        <v>0</v>
      </c>
      <c r="AG25" s="73">
        <f>SUM(AA25:AF25)</f>
        <v>0</v>
      </c>
      <c r="AH25" s="73">
        <f>(Y22/$H$24)/2</f>
        <v>1882.3529411764705</v>
      </c>
      <c r="AI25" s="73" t="s">
        <v>403</v>
      </c>
      <c r="AK25" s="73">
        <f t="shared" si="31"/>
        <v>0</v>
      </c>
      <c r="AL25" s="73">
        <f t="shared" si="31"/>
        <v>0</v>
      </c>
      <c r="AP25" s="73">
        <f>AK25+AL25</f>
        <v>0</v>
      </c>
      <c r="AQ25" s="73">
        <f>AH25</f>
        <v>1882.3529411764705</v>
      </c>
      <c r="AR25" s="73" t="s">
        <v>412</v>
      </c>
      <c r="BC25" s="83" t="s">
        <v>406</v>
      </c>
      <c r="BD25" s="83"/>
      <c r="BE25" s="83"/>
      <c r="BF25" s="83">
        <f>BF24*$D$76</f>
        <v>1866</v>
      </c>
      <c r="BG25" s="83">
        <f t="shared" ref="BG25:BL25" si="45">BG24*$D$76</f>
        <v>1668</v>
      </c>
      <c r="BH25" s="83">
        <f t="shared" si="45"/>
        <v>1467</v>
      </c>
      <c r="BI25" s="83">
        <f t="shared" si="45"/>
        <v>1266</v>
      </c>
      <c r="BJ25" s="83">
        <f t="shared" si="45"/>
        <v>1059</v>
      </c>
      <c r="BK25" s="83">
        <f t="shared" si="45"/>
        <v>852</v>
      </c>
      <c r="BL25" s="83">
        <f t="shared" si="45"/>
        <v>639</v>
      </c>
    </row>
    <row r="26" spans="1:65" x14ac:dyDescent="0.2">
      <c r="A26" s="79"/>
      <c r="B26" s="79"/>
      <c r="C26" s="79"/>
      <c r="D26" s="79"/>
      <c r="E26" s="81" t="s">
        <v>148</v>
      </c>
      <c r="F26" s="81"/>
      <c r="G26" s="81" t="s">
        <v>154</v>
      </c>
      <c r="H26" s="81">
        <f>IF($F$22=1,F21,IF($F$22=2,G21,IF($F$22=3,H21,IF($F$22=4,I21,""))))</f>
        <v>1100</v>
      </c>
      <c r="I26" s="81"/>
      <c r="AM26" s="73">
        <f>ROUND(AM13*$D$75,0)</f>
        <v>686</v>
      </c>
      <c r="AN26" s="73">
        <f>ROUND(AN13*$D$75,0)</f>
        <v>720</v>
      </c>
      <c r="AO26" s="73">
        <f>ROUND(AO13*$D$75,0)</f>
        <v>686</v>
      </c>
      <c r="AP26" s="73">
        <f>ROUND(AP13*$D$75,0)</f>
        <v>754</v>
      </c>
      <c r="AR26" s="73" t="s">
        <v>405</v>
      </c>
      <c r="AX26" s="73">
        <f>ROUND(AX13*$D$75,0)</f>
        <v>686</v>
      </c>
      <c r="AY26" s="73">
        <f>ROUND(AY13*$D$75,0)</f>
        <v>720</v>
      </c>
      <c r="AZ26" s="73">
        <f>ROUND(AZ13*$D$75,0)</f>
        <v>686</v>
      </c>
      <c r="BA26" s="73">
        <f>ROUND(BA13*$D$75,0)</f>
        <v>754</v>
      </c>
      <c r="BC26" s="73" t="s">
        <v>407</v>
      </c>
      <c r="BF26" s="73">
        <f>ROUND(BF11*$D$75,0)</f>
        <v>1010</v>
      </c>
      <c r="BG26" s="73">
        <f t="shared" ref="BG26:BL26" si="46">ROUND(BG11*$D$75,0)</f>
        <v>904</v>
      </c>
      <c r="BH26" s="73">
        <f t="shared" si="46"/>
        <v>795</v>
      </c>
      <c r="BI26" s="73">
        <f t="shared" si="46"/>
        <v>685</v>
      </c>
      <c r="BJ26" s="73">
        <f t="shared" si="46"/>
        <v>574</v>
      </c>
      <c r="BK26" s="73">
        <f t="shared" si="46"/>
        <v>461</v>
      </c>
      <c r="BL26" s="73">
        <f t="shared" si="46"/>
        <v>347</v>
      </c>
    </row>
    <row r="27" spans="1:65" x14ac:dyDescent="0.2">
      <c r="A27" s="79" t="s">
        <v>170</v>
      </c>
      <c r="B27" s="79">
        <v>5</v>
      </c>
      <c r="C27" s="79">
        <f>B27*12</f>
        <v>60</v>
      </c>
      <c r="D27" s="79"/>
      <c r="E27" s="81"/>
      <c r="F27" s="81"/>
      <c r="G27" s="81"/>
      <c r="H27" s="81"/>
      <c r="I27" s="81"/>
      <c r="L27" s="73" t="s">
        <v>207</v>
      </c>
      <c r="S27" s="73">
        <f t="shared" ref="S27:Y27" si="47">ROUND(S13*$D$44,0)</f>
        <v>3485</v>
      </c>
      <c r="T27" s="73">
        <f t="shared" si="47"/>
        <v>3669</v>
      </c>
      <c r="U27" s="73">
        <f t="shared" si="47"/>
        <v>4199</v>
      </c>
      <c r="V27" s="73">
        <f t="shared" si="47"/>
        <v>3938</v>
      </c>
      <c r="W27" s="73">
        <f t="shared" si="47"/>
        <v>4036</v>
      </c>
      <c r="X27" s="73">
        <f t="shared" si="47"/>
        <v>4938</v>
      </c>
      <c r="Y27" s="73">
        <f t="shared" si="47"/>
        <v>5007</v>
      </c>
      <c r="AA27" s="73">
        <f>ROUND(AA13*$D$44,0)</f>
        <v>5007</v>
      </c>
      <c r="AB27" s="73">
        <f t="shared" ref="AB27:AG27" si="48">ROUND(AB13*$D$44,0)</f>
        <v>4647</v>
      </c>
      <c r="AC27" s="73">
        <f t="shared" si="48"/>
        <v>4271</v>
      </c>
      <c r="AD27" s="73">
        <f t="shared" si="48"/>
        <v>4529</v>
      </c>
      <c r="AE27" s="73">
        <f t="shared" si="48"/>
        <v>4351</v>
      </c>
      <c r="AF27" s="73">
        <f t="shared" si="48"/>
        <v>4824</v>
      </c>
      <c r="AG27" s="73">
        <f t="shared" si="48"/>
        <v>5188</v>
      </c>
      <c r="AK27" s="73">
        <f>ROUND(AK13*$D$44,0)</f>
        <v>5007</v>
      </c>
      <c r="AL27" s="73">
        <f>ROUND(AL13*$D$44,0)</f>
        <v>4647</v>
      </c>
      <c r="AM27" s="83">
        <f>AM26*$D$76</f>
        <v>2058</v>
      </c>
      <c r="AN27" s="83">
        <f>AN26*$D$76</f>
        <v>2160</v>
      </c>
      <c r="AO27" s="83">
        <f>AO26*$D$76</f>
        <v>2058</v>
      </c>
      <c r="AP27" s="83">
        <f>AP26*$D$76</f>
        <v>2262</v>
      </c>
      <c r="AQ27" s="83"/>
      <c r="AR27" s="73" t="s">
        <v>406</v>
      </c>
      <c r="AV27" s="73">
        <f>ROUND(AV13*$D$44,0)</f>
        <v>5007</v>
      </c>
      <c r="AW27" s="73">
        <f>ROUND(AW13*$D$44,0)</f>
        <v>4647</v>
      </c>
      <c r="BC27" s="83" t="s">
        <v>408</v>
      </c>
      <c r="BD27" s="83"/>
      <c r="BE27" s="83"/>
      <c r="BF27" s="83">
        <f t="shared" ref="BF27:BL27" si="49">BF26*$D$76</f>
        <v>3030</v>
      </c>
      <c r="BG27" s="83">
        <f t="shared" si="49"/>
        <v>2712</v>
      </c>
      <c r="BH27" s="83">
        <f t="shared" si="49"/>
        <v>2385</v>
      </c>
      <c r="BI27" s="83">
        <f t="shared" si="49"/>
        <v>2055</v>
      </c>
      <c r="BJ27" s="83">
        <f t="shared" si="49"/>
        <v>1722</v>
      </c>
      <c r="BK27" s="83">
        <f t="shared" si="49"/>
        <v>1383</v>
      </c>
      <c r="BL27" s="83">
        <f t="shared" si="49"/>
        <v>1041</v>
      </c>
    </row>
    <row r="28" spans="1:65" x14ac:dyDescent="0.2">
      <c r="A28" s="79" t="s">
        <v>171</v>
      </c>
      <c r="B28" s="79">
        <f>4+0.2*B27</f>
        <v>5</v>
      </c>
      <c r="C28" s="79">
        <f>B28/1200</f>
        <v>4.1666666666666666E-3</v>
      </c>
      <c r="D28" s="79"/>
      <c r="L28" s="73" t="s">
        <v>208</v>
      </c>
      <c r="S28" s="73">
        <f>S27*$D$42</f>
        <v>13940</v>
      </c>
      <c r="T28" s="73">
        <f t="shared" ref="T28:Y28" si="50">T27*$D$42</f>
        <v>14676</v>
      </c>
      <c r="U28" s="73">
        <f t="shared" si="50"/>
        <v>16796</v>
      </c>
      <c r="V28" s="73">
        <f t="shared" si="50"/>
        <v>15752</v>
      </c>
      <c r="W28" s="73">
        <f t="shared" si="50"/>
        <v>16144</v>
      </c>
      <c r="X28" s="73">
        <f t="shared" si="50"/>
        <v>19752</v>
      </c>
      <c r="Y28" s="73">
        <f t="shared" si="50"/>
        <v>20028</v>
      </c>
      <c r="AA28" s="73">
        <f t="shared" ref="AA28:AF28" si="51">AA27*$D$42</f>
        <v>20028</v>
      </c>
      <c r="AB28" s="73">
        <f t="shared" si="51"/>
        <v>18588</v>
      </c>
      <c r="AC28" s="73">
        <f t="shared" si="51"/>
        <v>17084</v>
      </c>
      <c r="AD28" s="73">
        <f t="shared" si="51"/>
        <v>18116</v>
      </c>
      <c r="AE28" s="73">
        <f t="shared" si="51"/>
        <v>17404</v>
      </c>
      <c r="AF28" s="73">
        <f t="shared" si="51"/>
        <v>19296</v>
      </c>
      <c r="AK28" s="83">
        <f>AK27*$D$42</f>
        <v>20028</v>
      </c>
      <c r="AL28" s="83">
        <f>AL27*$D$42</f>
        <v>18588</v>
      </c>
      <c r="AM28" s="73">
        <f>ROUND(AM15*$D$75,0)</f>
        <v>1114</v>
      </c>
      <c r="AN28" s="73">
        <f>ROUND(AN15*$D$75,0)</f>
        <v>1170</v>
      </c>
      <c r="AO28" s="73">
        <f>ROUND(AO15*$D$75,0)</f>
        <v>1114</v>
      </c>
      <c r="AP28" s="73">
        <f>ROUND(AP15*$D$75,0)</f>
        <v>1225</v>
      </c>
      <c r="AR28" s="73" t="s">
        <v>407</v>
      </c>
      <c r="AX28" s="73">
        <f>ROUND(AX15*$D$75,0)</f>
        <v>1114</v>
      </c>
      <c r="AY28" s="73">
        <f>ROUND(AY15*$D$75,0)</f>
        <v>1170</v>
      </c>
      <c r="AZ28" s="73">
        <f>ROUND(AZ15*$D$75,0)</f>
        <v>1114</v>
      </c>
      <c r="BA28" s="73">
        <f>ROUND(BA15*$D$75,0)</f>
        <v>1225</v>
      </c>
      <c r="BC28" s="73" t="s">
        <v>474</v>
      </c>
      <c r="BF28" s="73">
        <f>ROUND(BF13*$D$75,0)</f>
        <v>0</v>
      </c>
      <c r="BG28" s="73">
        <f t="shared" ref="BG28:BL28" si="52">ROUND(BG13*$D$75,0)</f>
        <v>0</v>
      </c>
      <c r="BH28" s="73">
        <f t="shared" si="52"/>
        <v>4369</v>
      </c>
      <c r="BI28" s="73">
        <f t="shared" si="52"/>
        <v>5270</v>
      </c>
      <c r="BJ28" s="73">
        <f t="shared" si="52"/>
        <v>6177</v>
      </c>
      <c r="BK28" s="73">
        <f t="shared" si="52"/>
        <v>7089</v>
      </c>
      <c r="BL28" s="73">
        <f t="shared" si="52"/>
        <v>8005</v>
      </c>
    </row>
    <row r="29" spans="1:65" x14ac:dyDescent="0.2">
      <c r="A29" s="79" t="s">
        <v>172</v>
      </c>
      <c r="B29" s="79">
        <f>(1-(1/(1+(C$28))^$C27))/(C$28)</f>
        <v>52.990706323927469</v>
      </c>
      <c r="C29" s="79"/>
      <c r="D29" s="79"/>
      <c r="F29" s="73">
        <f>(F20*F19)/(F18*F20)*1000</f>
        <v>0.7142857142857143</v>
      </c>
      <c r="G29" s="73">
        <f>(G20*G19)/(G18*G20)*1000</f>
        <v>0.58823529411764697</v>
      </c>
      <c r="H29" s="73">
        <f>(H20*H19)/(H18*H20)*1000</f>
        <v>0.53125</v>
      </c>
      <c r="I29" s="73">
        <f>(I20*I19)/(I18*I20)*1000</f>
        <v>0.61538461538461542</v>
      </c>
      <c r="L29" s="73" t="s">
        <v>209</v>
      </c>
      <c r="S29" s="73">
        <f>S27*$B$42</f>
        <v>4182</v>
      </c>
      <c r="T29" s="73">
        <f t="shared" ref="T29:Y29" si="53">T27*$B$42</f>
        <v>4402.8</v>
      </c>
      <c r="U29" s="73">
        <f t="shared" si="53"/>
        <v>5038.8</v>
      </c>
      <c r="V29" s="73">
        <f t="shared" si="53"/>
        <v>4725.5999999999995</v>
      </c>
      <c r="W29" s="73">
        <f t="shared" si="53"/>
        <v>4843.2</v>
      </c>
      <c r="X29" s="73">
        <f t="shared" si="53"/>
        <v>5925.5999999999995</v>
      </c>
      <c r="Y29" s="73">
        <f t="shared" si="53"/>
        <v>6008.4</v>
      </c>
      <c r="Z29" s="73" t="s">
        <v>224</v>
      </c>
      <c r="AA29" s="73">
        <f>AA27*$B$42</f>
        <v>6008.4</v>
      </c>
      <c r="AB29" s="73">
        <f t="shared" ref="AB29:AG29" si="54">AB27*$B$42</f>
        <v>5576.4</v>
      </c>
      <c r="AC29" s="73">
        <f t="shared" si="54"/>
        <v>5125.2</v>
      </c>
      <c r="AD29" s="73">
        <f t="shared" si="54"/>
        <v>5434.8</v>
      </c>
      <c r="AE29" s="73">
        <f t="shared" si="54"/>
        <v>5221.2</v>
      </c>
      <c r="AF29" s="73">
        <f t="shared" si="54"/>
        <v>5788.8</v>
      </c>
      <c r="AG29" s="73">
        <f t="shared" si="54"/>
        <v>6225.5999999999995</v>
      </c>
      <c r="AK29" s="84">
        <f>AK27*$B$42</f>
        <v>6008.4</v>
      </c>
      <c r="AL29" s="84">
        <f>AL27*$B$42</f>
        <v>5576.4</v>
      </c>
      <c r="AM29" s="83">
        <f>AM28*$D$76</f>
        <v>3342</v>
      </c>
      <c r="AN29" s="83">
        <f>AN28*$D$76</f>
        <v>3510</v>
      </c>
      <c r="AO29" s="83">
        <f>AO28*$D$76</f>
        <v>3342</v>
      </c>
      <c r="AP29" s="83">
        <f>AP28*$D$76</f>
        <v>3675</v>
      </c>
      <c r="AQ29" s="83"/>
      <c r="AR29" s="73" t="s">
        <v>408</v>
      </c>
      <c r="BC29" s="83" t="s">
        <v>475</v>
      </c>
      <c r="BD29" s="83"/>
      <c r="BE29" s="83"/>
      <c r="BF29" s="83">
        <f t="shared" ref="BF29:BL29" si="55">BF28*$D$76</f>
        <v>0</v>
      </c>
      <c r="BG29" s="83">
        <f t="shared" si="55"/>
        <v>0</v>
      </c>
      <c r="BH29" s="83">
        <f t="shared" si="55"/>
        <v>13107</v>
      </c>
      <c r="BI29" s="83">
        <f t="shared" si="55"/>
        <v>15810</v>
      </c>
      <c r="BJ29" s="83">
        <f t="shared" si="55"/>
        <v>18531</v>
      </c>
      <c r="BK29" s="83">
        <f t="shared" si="55"/>
        <v>21267</v>
      </c>
      <c r="BL29" s="83">
        <f t="shared" si="55"/>
        <v>24015</v>
      </c>
    </row>
    <row r="30" spans="1:65" x14ac:dyDescent="0.2">
      <c r="A30" s="79" t="s">
        <v>173</v>
      </c>
      <c r="B30" s="79">
        <f>ROUND(C19/B29,2)</f>
        <v>2679.72</v>
      </c>
      <c r="C30" s="79" t="s">
        <v>178</v>
      </c>
      <c r="D30" s="79">
        <f>B30*12</f>
        <v>32156.639999999999</v>
      </c>
      <c r="E30" s="73" t="s">
        <v>188</v>
      </c>
      <c r="F30" s="73">
        <f>F20/280</f>
        <v>21.428571428571427</v>
      </c>
      <c r="G30" s="73">
        <f>G20/280</f>
        <v>19.642857142857142</v>
      </c>
      <c r="H30" s="73">
        <f>H20/280</f>
        <v>26.785714285714285</v>
      </c>
      <c r="I30" s="73">
        <f>I20/280</f>
        <v>14.285714285714286</v>
      </c>
      <c r="L30" s="73" t="s">
        <v>210</v>
      </c>
      <c r="S30" s="73">
        <f t="shared" ref="S30:X30" si="56">IF($B$40=2,0,(ROUNDUP(S27/$B$45,0)))</f>
        <v>1</v>
      </c>
      <c r="T30" s="73">
        <f t="shared" si="56"/>
        <v>1</v>
      </c>
      <c r="U30" s="73">
        <f t="shared" si="56"/>
        <v>2</v>
      </c>
      <c r="V30" s="73">
        <f t="shared" si="56"/>
        <v>1</v>
      </c>
      <c r="W30" s="73">
        <f t="shared" si="56"/>
        <v>2</v>
      </c>
      <c r="X30" s="73">
        <f t="shared" si="56"/>
        <v>2</v>
      </c>
      <c r="AA30" s="73">
        <f t="shared" ref="AA30:AF30" si="57">IF($B$40=2,0,(ROUNDUP(AA27/$B$45,0)))</f>
        <v>2</v>
      </c>
      <c r="AB30" s="73">
        <f t="shared" si="57"/>
        <v>2</v>
      </c>
      <c r="AC30" s="73">
        <f t="shared" si="57"/>
        <v>2</v>
      </c>
      <c r="AD30" s="73">
        <f t="shared" si="57"/>
        <v>2</v>
      </c>
      <c r="AE30" s="73">
        <f t="shared" si="57"/>
        <v>2</v>
      </c>
      <c r="AF30" s="73">
        <f t="shared" si="57"/>
        <v>2</v>
      </c>
      <c r="AK30" s="73">
        <f t="shared" ref="AK30:AL33" si="58">AA30</f>
        <v>2</v>
      </c>
      <c r="AL30" s="73">
        <f t="shared" si="58"/>
        <v>2</v>
      </c>
      <c r="AM30" s="84">
        <f>(AM26+AM28)*$B$42</f>
        <v>2160</v>
      </c>
      <c r="AN30" s="84">
        <f>(AN26+AN28)*$B$42</f>
        <v>2268</v>
      </c>
      <c r="AO30" s="84">
        <f>(AO26+AO28)*$B$42</f>
        <v>2160</v>
      </c>
      <c r="AP30" s="84">
        <f>(AP26+AP28)*$B$42</f>
        <v>2374.7999999999997</v>
      </c>
      <c r="AQ30" s="84"/>
      <c r="AR30" s="73" t="s">
        <v>409</v>
      </c>
      <c r="BC30" s="73" t="s">
        <v>409</v>
      </c>
      <c r="BF30" s="84">
        <f>(BF24+BF26+BF28)*$B$42</f>
        <v>1958.3999999999999</v>
      </c>
      <c r="BG30" s="84">
        <f t="shared" ref="BG30:BL30" si="59">(BG24+BG26+BG28)*$B$42</f>
        <v>1752</v>
      </c>
      <c r="BH30" s="84">
        <f t="shared" si="59"/>
        <v>6783.5999999999995</v>
      </c>
      <c r="BI30" s="84">
        <f t="shared" si="59"/>
        <v>7652.4</v>
      </c>
      <c r="BJ30" s="84">
        <f t="shared" si="59"/>
        <v>8524.7999999999993</v>
      </c>
      <c r="BK30" s="84">
        <f t="shared" si="59"/>
        <v>9400.7999999999993</v>
      </c>
      <c r="BL30" s="84">
        <f t="shared" si="59"/>
        <v>10278</v>
      </c>
    </row>
    <row r="31" spans="1:65" x14ac:dyDescent="0.2">
      <c r="A31" s="79" t="s">
        <v>181</v>
      </c>
      <c r="B31" s="79">
        <f>D30-B23</f>
        <v>25056.639999999999</v>
      </c>
      <c r="C31" s="79" t="s">
        <v>492</v>
      </c>
      <c r="D31" s="79"/>
      <c r="L31" s="73" t="s">
        <v>211</v>
      </c>
      <c r="S31" s="73">
        <f>S30</f>
        <v>1</v>
      </c>
      <c r="T31" s="73">
        <f>IF(S31&gt;T30,S31,T30)</f>
        <v>1</v>
      </c>
      <c r="U31" s="73">
        <f>IF(T31&gt;U30,T31,U30)</f>
        <v>2</v>
      </c>
      <c r="V31" s="73">
        <f>IF(U31&gt;V30,U31,V30)</f>
        <v>2</v>
      </c>
      <c r="W31" s="73">
        <f>IF(V31&gt;W30,V31,W30)</f>
        <v>2</v>
      </c>
      <c r="X31" s="73">
        <f>IF(W31&gt;X30,W31,X30)</f>
        <v>2</v>
      </c>
      <c r="AA31" s="73">
        <f>X31</f>
        <v>2</v>
      </c>
      <c r="AB31" s="73">
        <f>IF(AA31&gt;AB30,AA31,AB30)</f>
        <v>2</v>
      </c>
      <c r="AC31" s="73">
        <f>IF(AB31&gt;AC30,AB31,AC30)</f>
        <v>2</v>
      </c>
      <c r="AD31" s="73">
        <f>IF(AC31&gt;AD30,AC31,AD30)</f>
        <v>2</v>
      </c>
      <c r="AE31" s="73">
        <f>IF(AD31&gt;AE30,AD31,AE30)</f>
        <v>2</v>
      </c>
      <c r="AF31" s="73">
        <f>IF(AE31&gt;AF30,AE31,AF30)</f>
        <v>2</v>
      </c>
      <c r="AK31" s="73">
        <f t="shared" si="58"/>
        <v>2</v>
      </c>
      <c r="AL31" s="73">
        <f t="shared" si="58"/>
        <v>2</v>
      </c>
    </row>
    <row r="32" spans="1:65" x14ac:dyDescent="0.2">
      <c r="A32" s="79" t="s">
        <v>176</v>
      </c>
      <c r="B32" s="79">
        <f>ROUND(C19+B23-D30,2)</f>
        <v>116943.36</v>
      </c>
      <c r="C32" s="79">
        <v>2</v>
      </c>
      <c r="D32" s="79">
        <f>ROUND(C19+C32*B23-C32*D30,2)</f>
        <v>91886.720000000001</v>
      </c>
      <c r="E32" s="84" t="s">
        <v>279</v>
      </c>
      <c r="F32" s="84"/>
      <c r="G32" s="84" t="s">
        <v>126</v>
      </c>
      <c r="H32" s="84">
        <v>1</v>
      </c>
      <c r="L32" s="73" t="s">
        <v>212</v>
      </c>
      <c r="S32" s="73">
        <f>S30</f>
        <v>1</v>
      </c>
      <c r="T32" s="73">
        <f>T31-S31</f>
        <v>0</v>
      </c>
      <c r="U32" s="73">
        <f>U31-T31</f>
        <v>1</v>
      </c>
      <c r="V32" s="73">
        <f>V31-U31</f>
        <v>0</v>
      </c>
      <c r="W32" s="73">
        <f>W31-V31</f>
        <v>0</v>
      </c>
      <c r="X32" s="73">
        <f>X31-W31</f>
        <v>0</v>
      </c>
      <c r="AA32" s="73">
        <f>AA31-X31</f>
        <v>0</v>
      </c>
      <c r="AB32" s="73">
        <f>AB31-AA31</f>
        <v>0</v>
      </c>
      <c r="AC32" s="73">
        <f>AC31-AB31</f>
        <v>0</v>
      </c>
      <c r="AD32" s="73">
        <f>AD31-AC31</f>
        <v>0</v>
      </c>
      <c r="AE32" s="73">
        <f>AE31-AD31</f>
        <v>0</v>
      </c>
      <c r="AF32" s="73">
        <f>AF31-AE31</f>
        <v>0</v>
      </c>
      <c r="AK32" s="73">
        <f t="shared" si="58"/>
        <v>0</v>
      </c>
      <c r="AL32" s="73">
        <f t="shared" si="58"/>
        <v>0</v>
      </c>
    </row>
    <row r="33" spans="1:65" x14ac:dyDescent="0.2">
      <c r="A33" s="79" t="s">
        <v>185</v>
      </c>
      <c r="B33" s="80">
        <f>B30*C27</f>
        <v>160783.19999999998</v>
      </c>
      <c r="C33" s="79"/>
      <c r="D33" s="79"/>
      <c r="E33" s="84" t="s">
        <v>280</v>
      </c>
      <c r="F33" s="84">
        <v>100000</v>
      </c>
      <c r="G33" s="84">
        <v>0</v>
      </c>
      <c r="H33" s="84">
        <f>IF($H$32=1,F33,IF($H$32=2,G33,0))</f>
        <v>100000</v>
      </c>
      <c r="L33" s="73" t="s">
        <v>213</v>
      </c>
      <c r="S33" s="73">
        <f t="shared" ref="S33:X33" si="60">S32*$B$44</f>
        <v>600</v>
      </c>
      <c r="T33" s="73">
        <f t="shared" si="60"/>
        <v>0</v>
      </c>
      <c r="U33" s="73">
        <f t="shared" si="60"/>
        <v>600</v>
      </c>
      <c r="V33" s="73">
        <f t="shared" si="60"/>
        <v>0</v>
      </c>
      <c r="W33" s="73">
        <f t="shared" si="60"/>
        <v>0</v>
      </c>
      <c r="X33" s="73">
        <f t="shared" si="60"/>
        <v>0</v>
      </c>
      <c r="AA33" s="73">
        <f t="shared" ref="AA33:AF33" si="61">AA32*$B$44</f>
        <v>0</v>
      </c>
      <c r="AB33" s="73">
        <f t="shared" si="61"/>
        <v>0</v>
      </c>
      <c r="AC33" s="73">
        <f t="shared" si="61"/>
        <v>0</v>
      </c>
      <c r="AD33" s="73">
        <f t="shared" si="61"/>
        <v>0</v>
      </c>
      <c r="AE33" s="73">
        <f t="shared" si="61"/>
        <v>0</v>
      </c>
      <c r="AF33" s="73">
        <f t="shared" si="61"/>
        <v>0</v>
      </c>
      <c r="AK33" s="73">
        <f t="shared" si="58"/>
        <v>0</v>
      </c>
      <c r="AL33" s="73">
        <f t="shared" si="58"/>
        <v>0</v>
      </c>
      <c r="AQ33" s="73">
        <f>0.5*H37</f>
        <v>2500</v>
      </c>
      <c r="AR33" s="73" t="s">
        <v>404</v>
      </c>
      <c r="BC33" s="73" t="s">
        <v>404</v>
      </c>
      <c r="BE33" s="73">
        <f>H37</f>
        <v>5000</v>
      </c>
    </row>
    <row r="34" spans="1:65" x14ac:dyDescent="0.2">
      <c r="A34" s="82"/>
      <c r="B34" s="82"/>
      <c r="C34" s="82"/>
      <c r="D34" s="82"/>
      <c r="E34" s="84" t="s">
        <v>281</v>
      </c>
      <c r="F34" s="84">
        <v>1000</v>
      </c>
      <c r="G34" s="84">
        <v>0</v>
      </c>
      <c r="H34" s="84">
        <f>IF($H$32=1,F34,IF($H$32=2,G34,0))</f>
        <v>1000</v>
      </c>
      <c r="L34" s="73" t="s">
        <v>214</v>
      </c>
      <c r="S34" s="73">
        <f>ROUNDUP(S27/6000,0)</f>
        <v>1</v>
      </c>
      <c r="T34" s="73">
        <f t="shared" ref="T34:AL34" si="62">ROUNDUP(T27/6000,0)</f>
        <v>1</v>
      </c>
      <c r="U34" s="73">
        <f t="shared" si="62"/>
        <v>1</v>
      </c>
      <c r="V34" s="73">
        <f t="shared" si="62"/>
        <v>1</v>
      </c>
      <c r="W34" s="73">
        <f t="shared" si="62"/>
        <v>1</v>
      </c>
      <c r="X34" s="73">
        <f t="shared" si="62"/>
        <v>1</v>
      </c>
      <c r="AA34" s="73">
        <f t="shared" si="62"/>
        <v>1</v>
      </c>
      <c r="AB34" s="73">
        <f t="shared" si="62"/>
        <v>1</v>
      </c>
      <c r="AC34" s="73">
        <f t="shared" si="62"/>
        <v>1</v>
      </c>
      <c r="AD34" s="73">
        <f t="shared" si="62"/>
        <v>1</v>
      </c>
      <c r="AE34" s="73">
        <f t="shared" si="62"/>
        <v>1</v>
      </c>
      <c r="AF34" s="73">
        <f t="shared" si="62"/>
        <v>1</v>
      </c>
      <c r="AK34" s="73">
        <f t="shared" si="62"/>
        <v>1</v>
      </c>
      <c r="AL34" s="73">
        <f t="shared" si="62"/>
        <v>1</v>
      </c>
      <c r="AM34" s="73">
        <f>ROUNDUP((AM26+AM28)/6000,0)</f>
        <v>1</v>
      </c>
      <c r="AN34" s="73">
        <f>ROUNDUP((AN26+AN28)/6000,0)</f>
        <v>1</v>
      </c>
      <c r="AO34" s="73">
        <f>ROUNDUP((AO26+AO28)/6000,0)</f>
        <v>1</v>
      </c>
      <c r="AP34" s="73">
        <f>ROUNDUP((AP26+AP28)/6000,0)</f>
        <v>1</v>
      </c>
      <c r="AR34" s="73" t="s">
        <v>411</v>
      </c>
      <c r="AV34" s="73">
        <f>ROUNDUP(AV27/6000,0)</f>
        <v>1</v>
      </c>
      <c r="AW34" s="73">
        <f>ROUNDUP(AW27/6000,0)</f>
        <v>1</v>
      </c>
      <c r="AX34" s="73">
        <f>ROUNDUP((AX26+AX28)/6000,0)</f>
        <v>1</v>
      </c>
      <c r="AY34" s="73">
        <f>ROUNDUP((AY26+AY28)/6000,0)</f>
        <v>1</v>
      </c>
      <c r="AZ34" s="73">
        <f>ROUNDUP((AZ26+AZ28)/6000,0)</f>
        <v>1</v>
      </c>
      <c r="BA34" s="73">
        <f>ROUNDUP((BA26+BA28)/6000,0)</f>
        <v>1</v>
      </c>
      <c r="BC34" s="73" t="s">
        <v>476</v>
      </c>
      <c r="BF34" s="73">
        <f t="shared" ref="BF34:BK34" si="63">ROUNDUP((BF24+BF26+BF28)/6000,0)</f>
        <v>1</v>
      </c>
      <c r="BG34" s="73">
        <f t="shared" si="63"/>
        <v>1</v>
      </c>
      <c r="BH34" s="73">
        <f t="shared" si="63"/>
        <v>1</v>
      </c>
      <c r="BI34" s="73">
        <f t="shared" si="63"/>
        <v>2</v>
      </c>
      <c r="BJ34" s="73">
        <f t="shared" si="63"/>
        <v>2</v>
      </c>
      <c r="BK34" s="73">
        <f t="shared" si="63"/>
        <v>2</v>
      </c>
    </row>
    <row r="35" spans="1:65" x14ac:dyDescent="0.2">
      <c r="A35" s="82" t="s">
        <v>191</v>
      </c>
      <c r="B35" s="82" t="s">
        <v>198</v>
      </c>
      <c r="C35" s="82" t="s">
        <v>199</v>
      </c>
      <c r="D35" s="82" t="s">
        <v>78</v>
      </c>
      <c r="E35" s="84" t="s">
        <v>283</v>
      </c>
      <c r="F35" s="84">
        <v>0.97</v>
      </c>
      <c r="G35" s="84">
        <v>1</v>
      </c>
      <c r="H35" s="84">
        <f>IF($H$32=1,F35,IF($H$32=2,G35,0))</f>
        <v>0.97</v>
      </c>
      <c r="L35" s="73" t="s">
        <v>215</v>
      </c>
      <c r="M35" s="73">
        <f>M22+M33+H33</f>
        <v>132000</v>
      </c>
      <c r="N35" s="73">
        <f t="shared" ref="N35:X35" si="64">N22+N33</f>
        <v>0</v>
      </c>
      <c r="O35" s="73">
        <f t="shared" si="64"/>
        <v>0</v>
      </c>
      <c r="P35" s="73">
        <f t="shared" si="64"/>
        <v>0</v>
      </c>
      <c r="Q35" s="73">
        <f t="shared" si="64"/>
        <v>0</v>
      </c>
      <c r="R35" s="73">
        <f t="shared" si="64"/>
        <v>0</v>
      </c>
      <c r="S35" s="73">
        <f t="shared" si="64"/>
        <v>600</v>
      </c>
      <c r="T35" s="73">
        <f t="shared" si="64"/>
        <v>0</v>
      </c>
      <c r="U35" s="73">
        <f t="shared" si="64"/>
        <v>32600</v>
      </c>
      <c r="V35" s="73">
        <f t="shared" si="64"/>
        <v>0</v>
      </c>
      <c r="W35" s="73">
        <f t="shared" si="64"/>
        <v>0</v>
      </c>
      <c r="X35" s="73">
        <f t="shared" si="64"/>
        <v>0</v>
      </c>
      <c r="Y35" s="73">
        <f>SUM(M35:X35)</f>
        <v>165200</v>
      </c>
      <c r="AA35" s="73">
        <f t="shared" ref="AA35:AF35" si="65">AA33+AA22</f>
        <v>0</v>
      </c>
      <c r="AB35" s="73">
        <f t="shared" si="65"/>
        <v>0</v>
      </c>
      <c r="AC35" s="73">
        <f t="shared" si="65"/>
        <v>0</v>
      </c>
      <c r="AD35" s="73">
        <f t="shared" si="65"/>
        <v>0</v>
      </c>
      <c r="AE35" s="73">
        <f t="shared" si="65"/>
        <v>0</v>
      </c>
      <c r="AF35" s="73">
        <f t="shared" si="65"/>
        <v>0</v>
      </c>
      <c r="AK35" s="73">
        <f>AA35</f>
        <v>0</v>
      </c>
      <c r="AL35" s="73">
        <f>AB35</f>
        <v>0</v>
      </c>
      <c r="AQ35" s="73">
        <f>Y35+AK35+AL35</f>
        <v>165200</v>
      </c>
      <c r="AR35" s="73" t="s">
        <v>397</v>
      </c>
    </row>
    <row r="36" spans="1:65" x14ac:dyDescent="0.2">
      <c r="A36" s="82" t="s">
        <v>192</v>
      </c>
      <c r="B36" s="85">
        <v>1.5</v>
      </c>
      <c r="C36" s="85">
        <v>2</v>
      </c>
      <c r="D36" s="85">
        <v>1.2</v>
      </c>
      <c r="E36" s="84" t="s">
        <v>282</v>
      </c>
      <c r="F36" s="84">
        <f>(1-F35)*100</f>
        <v>3.0000000000000027</v>
      </c>
      <c r="G36" s="84">
        <f>1-G35</f>
        <v>0</v>
      </c>
      <c r="H36" s="84">
        <f>IF($H$32=1,F36,IF($H$32=2,G36,0))</f>
        <v>3.0000000000000027</v>
      </c>
      <c r="L36" s="73" t="s">
        <v>216</v>
      </c>
      <c r="S36" s="73">
        <f>S35/60*6</f>
        <v>60</v>
      </c>
      <c r="T36" s="73">
        <f>T35/60*5</f>
        <v>0</v>
      </c>
      <c r="U36" s="73">
        <f>U35/60*4</f>
        <v>2173.3333333333335</v>
      </c>
      <c r="V36" s="73">
        <f>V35/60*3</f>
        <v>0</v>
      </c>
      <c r="W36" s="73">
        <f>W35/60*2</f>
        <v>0</v>
      </c>
      <c r="X36" s="73">
        <f>X35/60*1</f>
        <v>0</v>
      </c>
      <c r="AA36" s="73">
        <f t="shared" ref="AA36:AF36" si="66">AA35/60*AA24</f>
        <v>0</v>
      </c>
      <c r="AB36" s="73">
        <f t="shared" si="66"/>
        <v>0</v>
      </c>
      <c r="AC36" s="73">
        <f t="shared" si="66"/>
        <v>0</v>
      </c>
      <c r="AD36" s="73">
        <f t="shared" si="66"/>
        <v>0</v>
      </c>
      <c r="AE36" s="73">
        <f t="shared" si="66"/>
        <v>0</v>
      </c>
      <c r="AF36" s="73">
        <f t="shared" si="66"/>
        <v>0</v>
      </c>
      <c r="AG36" s="73">
        <f>SUM(AA36:AF36)</f>
        <v>0</v>
      </c>
      <c r="AH36" s="73">
        <f>(Y35/60)/2</f>
        <v>1376.6666666666667</v>
      </c>
      <c r="AI36" s="73" t="s">
        <v>345</v>
      </c>
      <c r="AK36" s="73">
        <f>AA36</f>
        <v>0</v>
      </c>
      <c r="AL36" s="73">
        <f>AB36</f>
        <v>0</v>
      </c>
      <c r="AP36" s="73">
        <f>AK36+AL36</f>
        <v>0</v>
      </c>
      <c r="AQ36" s="73">
        <f>AH36</f>
        <v>1376.6666666666667</v>
      </c>
      <c r="AR36" s="73" t="s">
        <v>345</v>
      </c>
      <c r="BC36" s="73" t="s">
        <v>477</v>
      </c>
      <c r="BE36" s="73">
        <f>(Y35/60)</f>
        <v>2753.3333333333335</v>
      </c>
    </row>
    <row r="37" spans="1:65" x14ac:dyDescent="0.2">
      <c r="A37" s="82" t="s">
        <v>205</v>
      </c>
      <c r="B37" s="82">
        <v>3.5</v>
      </c>
      <c r="C37" s="82">
        <v>1.2</v>
      </c>
      <c r="D37" s="82">
        <v>5</v>
      </c>
      <c r="E37" s="84" t="s">
        <v>285</v>
      </c>
      <c r="F37" s="84">
        <f>F33/20</f>
        <v>5000</v>
      </c>
      <c r="G37" s="84">
        <v>0</v>
      </c>
      <c r="H37" s="84">
        <f>IF($H$32=1,F37,IF($H$32=2,G37,0))</f>
        <v>5000</v>
      </c>
      <c r="L37" s="73" t="s">
        <v>217</v>
      </c>
      <c r="M37" s="73">
        <f>M25+M36+H37</f>
        <v>6882.3529411764703</v>
      </c>
      <c r="N37" s="73">
        <f t="shared" ref="N37:W37" si="67">N25+N36</f>
        <v>0</v>
      </c>
      <c r="O37" s="73">
        <f t="shared" si="67"/>
        <v>0</v>
      </c>
      <c r="P37" s="73">
        <f t="shared" si="67"/>
        <v>0</v>
      </c>
      <c r="Q37" s="73">
        <f t="shared" si="67"/>
        <v>0</v>
      </c>
      <c r="R37" s="73">
        <f t="shared" si="67"/>
        <v>0</v>
      </c>
      <c r="S37" s="73">
        <f t="shared" si="67"/>
        <v>60</v>
      </c>
      <c r="T37" s="73">
        <f t="shared" si="67"/>
        <v>0</v>
      </c>
      <c r="U37" s="73">
        <f t="shared" si="67"/>
        <v>2800.7843137254904</v>
      </c>
      <c r="V37" s="73">
        <f t="shared" si="67"/>
        <v>0</v>
      </c>
      <c r="W37" s="73">
        <f t="shared" si="67"/>
        <v>0</v>
      </c>
      <c r="X37" s="73">
        <f>ROUND(X25+X36,2)</f>
        <v>0</v>
      </c>
      <c r="Y37" s="73">
        <f>SUM(M37:X37)</f>
        <v>9743.1372549019616</v>
      </c>
      <c r="Z37" s="73" t="s">
        <v>402</v>
      </c>
      <c r="AH37" s="73">
        <f>AG25+AH25+AG36+AH36</f>
        <v>3259.0196078431372</v>
      </c>
      <c r="AI37" s="73" t="s">
        <v>376</v>
      </c>
      <c r="AQ37" s="73">
        <f>AP25+AQ25+AP36+AQ36</f>
        <v>3259.0196078431372</v>
      </c>
      <c r="AR37" s="73" t="s">
        <v>376</v>
      </c>
      <c r="BC37" s="73" t="s">
        <v>478</v>
      </c>
      <c r="BE37" s="73">
        <f>BE36+BE23</f>
        <v>6518.0392156862745</v>
      </c>
    </row>
    <row r="38" spans="1:65" x14ac:dyDescent="0.2">
      <c r="A38" s="82" t="s">
        <v>193</v>
      </c>
      <c r="B38" s="82">
        <v>4000</v>
      </c>
      <c r="C38" s="82">
        <v>0</v>
      </c>
      <c r="D38" s="82">
        <v>600</v>
      </c>
      <c r="E38" s="84"/>
      <c r="F38" s="84"/>
      <c r="G38" s="84"/>
      <c r="H38" s="84"/>
      <c r="AQ38" s="73">
        <f>Y37+AQ37</f>
        <v>13002.156862745098</v>
      </c>
      <c r="AR38" s="73" t="s">
        <v>398</v>
      </c>
      <c r="BC38" s="73" t="s">
        <v>479</v>
      </c>
      <c r="BE38" s="73">
        <f>Y37+BE37</f>
        <v>16261.176470588236</v>
      </c>
      <c r="BL38" s="73" t="s">
        <v>484</v>
      </c>
    </row>
    <row r="39" spans="1:65" x14ac:dyDescent="0.2">
      <c r="A39" s="82" t="s">
        <v>194</v>
      </c>
      <c r="B39" s="82">
        <v>10000</v>
      </c>
      <c r="C39" s="82">
        <v>0</v>
      </c>
      <c r="D39" s="82">
        <v>4000</v>
      </c>
      <c r="E39" s="78" t="s">
        <v>277</v>
      </c>
      <c r="F39" s="78" t="s">
        <v>290</v>
      </c>
      <c r="G39" s="78">
        <v>5000</v>
      </c>
      <c r="H39" s="78"/>
      <c r="I39" s="78">
        <v>2</v>
      </c>
      <c r="L39" s="73" t="s">
        <v>410</v>
      </c>
      <c r="S39" s="73">
        <f>S29+0.25*T29</f>
        <v>5282.7</v>
      </c>
      <c r="T39" s="73">
        <f>0.75*T29+0.25*U29</f>
        <v>4561.8</v>
      </c>
      <c r="U39" s="73">
        <f>0.75*U29+0.25*V29</f>
        <v>4960.5</v>
      </c>
      <c r="V39" s="73">
        <f>0.75*V29+0.25*W29</f>
        <v>4755</v>
      </c>
      <c r="W39" s="73">
        <f>0.75*W29+0.25*X29</f>
        <v>5113.7999999999993</v>
      </c>
      <c r="X39" s="73">
        <f>0.75*X29+0.25*Y29</f>
        <v>5946.2999999999993</v>
      </c>
      <c r="Y39" s="73">
        <f>0.25*Y29</f>
        <v>1502.1</v>
      </c>
      <c r="Z39" s="73" t="s">
        <v>221</v>
      </c>
      <c r="AA39" s="73">
        <f t="shared" ref="AA39:AF39" si="68">0.75*AA29+0.25*AB29</f>
        <v>5900.4</v>
      </c>
      <c r="AB39" s="73">
        <f t="shared" si="68"/>
        <v>5463.5999999999995</v>
      </c>
      <c r="AC39" s="73">
        <f t="shared" si="68"/>
        <v>5202.5999999999995</v>
      </c>
      <c r="AD39" s="73">
        <f t="shared" si="68"/>
        <v>5381.4000000000005</v>
      </c>
      <c r="AE39" s="73">
        <f t="shared" si="68"/>
        <v>5363.0999999999995</v>
      </c>
      <c r="AF39" s="73">
        <f t="shared" si="68"/>
        <v>5898</v>
      </c>
      <c r="AK39" s="73">
        <f>0.75*AK29+0.25*AL29</f>
        <v>5900.4</v>
      </c>
      <c r="AL39" s="73">
        <f>0.75*AL29+0.25*AM30</f>
        <v>4722.2999999999993</v>
      </c>
      <c r="AM39" s="73">
        <f>0.75*AM30+0.25*AN30</f>
        <v>2187</v>
      </c>
      <c r="AN39" s="73">
        <f>0.75*AN30+0.25*AO30</f>
        <v>2241</v>
      </c>
      <c r="AO39" s="73">
        <f>0.75*AO30+0.25*AP30</f>
        <v>2213.6999999999998</v>
      </c>
      <c r="AP39" s="73">
        <f>0.75*AP30+0.25*BF30</f>
        <v>2270.6999999999998</v>
      </c>
      <c r="AQ39" s="159">
        <f>0.75*AP30</f>
        <v>1781.1</v>
      </c>
      <c r="AR39" s="159" t="s">
        <v>508</v>
      </c>
      <c r="AS39" s="159"/>
      <c r="AT39" s="159"/>
      <c r="BC39" s="73" t="s">
        <v>480</v>
      </c>
      <c r="BF39" s="73">
        <f t="shared" ref="BF39:BK39" si="69">0.75*BF30+0.25*BG30</f>
        <v>1906.8</v>
      </c>
      <c r="BG39" s="73">
        <f t="shared" si="69"/>
        <v>3009.8999999999996</v>
      </c>
      <c r="BH39" s="73">
        <f t="shared" si="69"/>
        <v>7000.7999999999993</v>
      </c>
      <c r="BI39" s="73">
        <f t="shared" si="69"/>
        <v>7870.4999999999991</v>
      </c>
      <c r="BJ39" s="73">
        <f t="shared" si="69"/>
        <v>8743.7999999999993</v>
      </c>
      <c r="BK39" s="73">
        <f t="shared" si="69"/>
        <v>9620.0999999999985</v>
      </c>
      <c r="BL39" s="73">
        <f>0.25*BL30</f>
        <v>2569.5</v>
      </c>
      <c r="BM39" s="73" t="s">
        <v>379</v>
      </c>
    </row>
    <row r="40" spans="1:65" x14ac:dyDescent="0.2">
      <c r="A40" s="82" t="s">
        <v>197</v>
      </c>
      <c r="B40" s="82">
        <v>3</v>
      </c>
      <c r="C40" s="82"/>
      <c r="D40" s="82"/>
      <c r="E40" s="78"/>
      <c r="F40" s="78" t="s">
        <v>287</v>
      </c>
      <c r="G40" s="78" t="s">
        <v>288</v>
      </c>
      <c r="H40" s="78" t="s">
        <v>289</v>
      </c>
      <c r="I40" s="78" t="s">
        <v>126</v>
      </c>
      <c r="Y40" s="73">
        <f>SUM(S29:X29)</f>
        <v>29117.999999999996</v>
      </c>
      <c r="Z40" s="73" t="s">
        <v>225</v>
      </c>
      <c r="AQ40" s="73">
        <f>SUM(AK39:AP39)</f>
        <v>19535.099999999999</v>
      </c>
      <c r="BL40" s="73">
        <f>SUM(BF39:BK39)</f>
        <v>38151.899999999994</v>
      </c>
      <c r="BM40" s="73" t="s">
        <v>481</v>
      </c>
    </row>
    <row r="41" spans="1:65" x14ac:dyDescent="0.2">
      <c r="A41" s="82" t="s">
        <v>200</v>
      </c>
      <c r="B41" s="82" t="str">
        <f>IF($B$40=1,B35,IF($B$40=2,C35,IF($B$40=3,D35,"Item")))</f>
        <v>Garlic Bread</v>
      </c>
      <c r="C41" s="82" t="s">
        <v>88</v>
      </c>
      <c r="D41" s="82">
        <v>40</v>
      </c>
      <c r="E41" s="78" t="s">
        <v>291</v>
      </c>
      <c r="F41" s="78">
        <v>2500</v>
      </c>
      <c r="G41" s="78">
        <v>8000</v>
      </c>
      <c r="H41" s="78">
        <v>18000</v>
      </c>
      <c r="I41" s="78">
        <f>IF($I$39=1,F41,IF($I$39=2,G41,IF($I$39=3,H41,0)))</f>
        <v>8000</v>
      </c>
      <c r="L41" s="73" t="s">
        <v>240</v>
      </c>
      <c r="M41" s="73">
        <f>M14*0.7</f>
        <v>33263.299999999996</v>
      </c>
      <c r="N41" s="73">
        <f t="shared" ref="N41:AF41" si="70">N14*0.7</f>
        <v>49808.5</v>
      </c>
      <c r="O41" s="73">
        <f t="shared" si="70"/>
        <v>59504.2</v>
      </c>
      <c r="P41" s="73">
        <f t="shared" si="70"/>
        <v>74573.099999999991</v>
      </c>
      <c r="Q41" s="73">
        <f t="shared" si="70"/>
        <v>80345.299999999988</v>
      </c>
      <c r="R41" s="73">
        <f t="shared" si="70"/>
        <v>96691</v>
      </c>
      <c r="S41" s="73">
        <f t="shared" si="70"/>
        <v>94031</v>
      </c>
      <c r="T41" s="73">
        <f t="shared" si="70"/>
        <v>98978.599999999991</v>
      </c>
      <c r="U41" s="73">
        <f t="shared" si="70"/>
        <v>113302.7</v>
      </c>
      <c r="V41" s="73">
        <f t="shared" si="70"/>
        <v>106253.7</v>
      </c>
      <c r="W41" s="73">
        <f t="shared" si="70"/>
        <v>108887.09999999999</v>
      </c>
      <c r="X41" s="73">
        <f>X14*0.7</f>
        <v>133226.1</v>
      </c>
      <c r="AA41" s="73">
        <f t="shared" si="70"/>
        <v>135101.4</v>
      </c>
      <c r="AB41" s="73">
        <f t="shared" si="70"/>
        <v>125379.09999999999</v>
      </c>
      <c r="AC41" s="73">
        <f t="shared" si="70"/>
        <v>115244.49999999999</v>
      </c>
      <c r="AD41" s="73">
        <f t="shared" si="70"/>
        <v>122187.09999999999</v>
      </c>
      <c r="AE41" s="73">
        <f t="shared" si="70"/>
        <v>117399.09999999999</v>
      </c>
      <c r="AF41" s="73">
        <f t="shared" si="70"/>
        <v>130140.49999999999</v>
      </c>
      <c r="AK41" s="72">
        <f>AK14*0.7</f>
        <v>135101.4</v>
      </c>
      <c r="AL41" s="72">
        <f>AL14*0.7</f>
        <v>125379.09999999999</v>
      </c>
      <c r="AM41" s="72">
        <f>(AM14+AM16)*0.7</f>
        <v>19152</v>
      </c>
      <c r="AN41" s="72">
        <f>(AN14+AN16)*0.7</f>
        <v>20109.599999999999</v>
      </c>
      <c r="AO41" s="72">
        <f>(AO14+AO16)*0.7</f>
        <v>19152</v>
      </c>
      <c r="AP41" s="72">
        <f>(AP14+AP16)*0.7</f>
        <v>21056.560000000001</v>
      </c>
      <c r="AQ41" s="72"/>
      <c r="AR41" s="72"/>
      <c r="AS41" s="72"/>
      <c r="AT41" s="72"/>
      <c r="BC41" s="72" t="s">
        <v>240</v>
      </c>
      <c r="BD41" s="72"/>
      <c r="BE41" s="72"/>
      <c r="BF41" s="72">
        <f t="shared" ref="BF41:BK41" si="71">(BF10+BF12+BF14)*0.7</f>
        <v>17364.48</v>
      </c>
      <c r="BG41" s="72">
        <f t="shared" si="71"/>
        <v>15534.4</v>
      </c>
      <c r="BH41" s="72">
        <f t="shared" si="71"/>
        <v>60147.92</v>
      </c>
      <c r="BI41" s="72">
        <f t="shared" si="71"/>
        <v>67851.28</v>
      </c>
      <c r="BJ41" s="72">
        <f t="shared" si="71"/>
        <v>75586.560000000012</v>
      </c>
      <c r="BK41" s="72">
        <f t="shared" si="71"/>
        <v>83353.760000000009</v>
      </c>
      <c r="BL41" s="72"/>
    </row>
    <row r="42" spans="1:65" x14ac:dyDescent="0.2">
      <c r="A42" s="82" t="s">
        <v>151</v>
      </c>
      <c r="B42" s="82">
        <f>IF($B$40=1,B36,IF($B$40=2,C36,IF($B$40=3,D36,0)))</f>
        <v>1.2</v>
      </c>
      <c r="C42" s="82"/>
      <c r="D42" s="82">
        <f>D41/10</f>
        <v>4</v>
      </c>
      <c r="E42" s="78" t="s">
        <v>292</v>
      </c>
      <c r="F42" s="78">
        <v>0</v>
      </c>
      <c r="G42" s="78">
        <v>500</v>
      </c>
      <c r="H42" s="78">
        <v>1000</v>
      </c>
      <c r="I42" s="78">
        <f>IF($I$39=1,F42,IF($I$39=2,G42,IF($I$39=3,H42,0)))</f>
        <v>500</v>
      </c>
      <c r="L42" s="73" t="s">
        <v>241</v>
      </c>
      <c r="N42" s="73">
        <f>M14*0.3</f>
        <v>14255.699999999999</v>
      </c>
      <c r="O42" s="73">
        <f t="shared" ref="O42:X42" si="72">N14*0.3</f>
        <v>21346.5</v>
      </c>
      <c r="P42" s="73">
        <f t="shared" si="72"/>
        <v>25501.8</v>
      </c>
      <c r="Q42" s="73">
        <f t="shared" si="72"/>
        <v>31959.899999999998</v>
      </c>
      <c r="R42" s="73">
        <f t="shared" si="72"/>
        <v>34433.699999999997</v>
      </c>
      <c r="S42" s="73">
        <f t="shared" si="72"/>
        <v>41439</v>
      </c>
      <c r="T42" s="73">
        <f t="shared" si="72"/>
        <v>40299</v>
      </c>
      <c r="U42" s="73">
        <f t="shared" si="72"/>
        <v>42419.4</v>
      </c>
      <c r="V42" s="73">
        <f t="shared" si="72"/>
        <v>48558.299999999996</v>
      </c>
      <c r="W42" s="73">
        <f t="shared" si="72"/>
        <v>45537.299999999996</v>
      </c>
      <c r="X42" s="73">
        <f t="shared" si="72"/>
        <v>46665.9</v>
      </c>
      <c r="Y42" s="73">
        <f>X14*0.3</f>
        <v>57096.9</v>
      </c>
      <c r="Z42" s="73" t="s">
        <v>244</v>
      </c>
      <c r="AA42" s="73">
        <f>X14*0.3</f>
        <v>57096.9</v>
      </c>
      <c r="AB42" s="73">
        <f t="shared" ref="AB42:AG42" si="73">AA14*0.3</f>
        <v>57900.6</v>
      </c>
      <c r="AC42" s="73">
        <f t="shared" si="73"/>
        <v>53733.9</v>
      </c>
      <c r="AD42" s="73">
        <f t="shared" si="73"/>
        <v>49390.5</v>
      </c>
      <c r="AE42" s="73">
        <f t="shared" si="73"/>
        <v>52365.9</v>
      </c>
      <c r="AF42" s="73">
        <f t="shared" si="73"/>
        <v>50313.9</v>
      </c>
      <c r="AG42" s="73">
        <f t="shared" si="73"/>
        <v>55774.5</v>
      </c>
      <c r="AH42" s="73" t="s">
        <v>346</v>
      </c>
      <c r="AK42" s="72">
        <f>X14*0.3</f>
        <v>57096.9</v>
      </c>
      <c r="AL42" s="72">
        <f>AK14*0.3</f>
        <v>57900.6</v>
      </c>
      <c r="AM42" s="72">
        <f>IF(AQ6=0,0,AL14*0.3)</f>
        <v>53733.9</v>
      </c>
      <c r="AN42" s="72">
        <f>(AM14+AM16)*0.3</f>
        <v>8208</v>
      </c>
      <c r="AO42" s="72">
        <f>(AN14+AN16)*0.3</f>
        <v>8618.4</v>
      </c>
      <c r="AP42" s="72">
        <f>(AO14+AO16)*0.3</f>
        <v>8208</v>
      </c>
      <c r="AQ42" s="72">
        <f>IF(AQ6=0,AL14*0.3,(AP14+AP16)*0.3)</f>
        <v>9024.24</v>
      </c>
      <c r="AR42" s="72" t="s">
        <v>378</v>
      </c>
      <c r="AS42" s="72"/>
      <c r="AT42" s="72"/>
      <c r="BC42" s="72" t="s">
        <v>241</v>
      </c>
      <c r="BD42" s="72"/>
      <c r="BE42" s="72"/>
      <c r="BF42" s="72"/>
      <c r="BG42" s="72">
        <f t="shared" ref="BG42:BL42" si="74">(BF10+BF12+BF14)*0.3</f>
        <v>7441.92</v>
      </c>
      <c r="BH42" s="72">
        <f t="shared" si="74"/>
        <v>6657.5999999999995</v>
      </c>
      <c r="BI42" s="72">
        <f t="shared" si="74"/>
        <v>25777.68</v>
      </c>
      <c r="BJ42" s="72">
        <f t="shared" si="74"/>
        <v>29079.119999999999</v>
      </c>
      <c r="BK42" s="72">
        <f t="shared" si="74"/>
        <v>32394.240000000005</v>
      </c>
      <c r="BL42" s="72">
        <f t="shared" si="74"/>
        <v>35723.040000000001</v>
      </c>
      <c r="BM42" s="72" t="s">
        <v>378</v>
      </c>
    </row>
    <row r="43" spans="1:65" x14ac:dyDescent="0.2">
      <c r="A43" s="82" t="s">
        <v>201</v>
      </c>
      <c r="B43" s="82">
        <f>IF($B$40=1,B37,IF($B$40=2,C37,IF($B$40=3,D37,0)))</f>
        <v>5</v>
      </c>
      <c r="C43" s="82" t="s">
        <v>204</v>
      </c>
      <c r="D43" s="82">
        <f>((B42)^2.5/((D42)^1.5))*0.5</f>
        <v>9.8590060350929917E-2</v>
      </c>
      <c r="E43" s="78" t="s">
        <v>294</v>
      </c>
      <c r="F43" s="78">
        <v>1</v>
      </c>
      <c r="G43" s="78">
        <v>1.03</v>
      </c>
      <c r="H43" s="78">
        <v>1.05</v>
      </c>
      <c r="I43" s="78">
        <f>IF($I$39=1,F43,IF($I$39=2,G43,IF($I$39=3,H43,0)))</f>
        <v>1.03</v>
      </c>
      <c r="L43" s="73" t="s">
        <v>242</v>
      </c>
      <c r="S43" s="73">
        <f>S28*0.7</f>
        <v>9758</v>
      </c>
      <c r="T43" s="73">
        <f t="shared" ref="T43:AL43" si="75">T28*0.7</f>
        <v>10273.199999999999</v>
      </c>
      <c r="U43" s="73">
        <f t="shared" si="75"/>
        <v>11757.199999999999</v>
      </c>
      <c r="V43" s="73">
        <f t="shared" si="75"/>
        <v>11026.4</v>
      </c>
      <c r="W43" s="73">
        <f t="shared" si="75"/>
        <v>11300.8</v>
      </c>
      <c r="X43" s="73">
        <f t="shared" si="75"/>
        <v>13826.4</v>
      </c>
      <c r="AA43" s="73">
        <f t="shared" si="75"/>
        <v>14019.599999999999</v>
      </c>
      <c r="AB43" s="73">
        <f t="shared" si="75"/>
        <v>13011.599999999999</v>
      </c>
      <c r="AC43" s="73">
        <f t="shared" si="75"/>
        <v>11958.8</v>
      </c>
      <c r="AD43" s="73">
        <f t="shared" si="75"/>
        <v>12681.199999999999</v>
      </c>
      <c r="AE43" s="73">
        <f t="shared" si="75"/>
        <v>12182.8</v>
      </c>
      <c r="AF43" s="73">
        <f t="shared" si="75"/>
        <v>13507.199999999999</v>
      </c>
      <c r="AK43" s="72">
        <f>AK28*0.7</f>
        <v>14019.599999999999</v>
      </c>
      <c r="AL43" s="72">
        <f t="shared" si="75"/>
        <v>13011.599999999999</v>
      </c>
      <c r="AM43" s="72">
        <f>(AM27+AM29)*0.7</f>
        <v>3779.9999999999995</v>
      </c>
      <c r="AN43" s="72">
        <f>(AN27+AN29)*0.7</f>
        <v>3968.9999999999995</v>
      </c>
      <c r="AO43" s="72">
        <f>(AO27+AO29)*0.7</f>
        <v>3779.9999999999995</v>
      </c>
      <c r="AP43" s="72">
        <f>(AP27+AP29)*0.7</f>
        <v>4155.8999999999996</v>
      </c>
      <c r="AQ43" s="72"/>
      <c r="AR43" s="72"/>
      <c r="AS43" s="72"/>
      <c r="AT43" s="72"/>
      <c r="BC43" s="72" t="s">
        <v>242</v>
      </c>
      <c r="BD43" s="72"/>
      <c r="BE43" s="72"/>
      <c r="BF43" s="72">
        <f t="shared" ref="BF43:BK43" si="76">(BF25+BF27+BF29)*0.7</f>
        <v>3427.2</v>
      </c>
      <c r="BG43" s="72">
        <f t="shared" si="76"/>
        <v>3066</v>
      </c>
      <c r="BH43" s="72">
        <f t="shared" si="76"/>
        <v>11871.3</v>
      </c>
      <c r="BI43" s="72">
        <f t="shared" si="76"/>
        <v>13391.699999999999</v>
      </c>
      <c r="BJ43" s="72">
        <f t="shared" si="76"/>
        <v>14918.4</v>
      </c>
      <c r="BK43" s="72">
        <f t="shared" si="76"/>
        <v>16451.399999999998</v>
      </c>
      <c r="BL43" s="72"/>
    </row>
    <row r="44" spans="1:65" x14ac:dyDescent="0.2">
      <c r="A44" s="82" t="s">
        <v>202</v>
      </c>
      <c r="B44" s="82">
        <f>IF($B$40=1,B38,IF($B$40=2,C38,IF($B$40=3,D38,0)))</f>
        <v>600</v>
      </c>
      <c r="C44" s="82" t="s">
        <v>206</v>
      </c>
      <c r="D44" s="82">
        <f>D43*B43</f>
        <v>0.4929503017546496</v>
      </c>
      <c r="E44" s="78" t="s">
        <v>295</v>
      </c>
      <c r="F44" s="78">
        <f>(F43-1)*100</f>
        <v>0</v>
      </c>
      <c r="G44" s="78">
        <f>(G43-1)*100</f>
        <v>3.0000000000000027</v>
      </c>
      <c r="H44" s="78">
        <f>(H43-1)*100</f>
        <v>5.0000000000000044</v>
      </c>
      <c r="I44" s="78">
        <f>IF($I$39=1,F44,IF($I$39=2,G44,IF($I$39=3,H44,0)))</f>
        <v>3.0000000000000027</v>
      </c>
      <c r="L44" s="73" t="s">
        <v>243</v>
      </c>
      <c r="T44" s="73">
        <f t="shared" ref="T44:Y44" si="77">S28*0.3</f>
        <v>4182</v>
      </c>
      <c r="U44" s="73">
        <f t="shared" si="77"/>
        <v>4402.8</v>
      </c>
      <c r="V44" s="73">
        <f t="shared" si="77"/>
        <v>5038.8</v>
      </c>
      <c r="W44" s="73">
        <f t="shared" si="77"/>
        <v>4725.5999999999995</v>
      </c>
      <c r="X44" s="73">
        <f t="shared" si="77"/>
        <v>4843.2</v>
      </c>
      <c r="Y44" s="73">
        <f t="shared" si="77"/>
        <v>5925.5999999999995</v>
      </c>
      <c r="Z44" s="73" t="s">
        <v>244</v>
      </c>
      <c r="AA44" s="73">
        <f>X28*0.3</f>
        <v>5925.5999999999995</v>
      </c>
      <c r="AB44" s="73">
        <f t="shared" ref="AB44:AG44" si="78">AA28*0.3</f>
        <v>6008.4</v>
      </c>
      <c r="AC44" s="73">
        <f t="shared" si="78"/>
        <v>5576.4</v>
      </c>
      <c r="AD44" s="73">
        <f t="shared" si="78"/>
        <v>5125.2</v>
      </c>
      <c r="AE44" s="73">
        <f t="shared" si="78"/>
        <v>5434.8</v>
      </c>
      <c r="AF44" s="73">
        <f t="shared" si="78"/>
        <v>5221.2</v>
      </c>
      <c r="AG44" s="73">
        <f t="shared" si="78"/>
        <v>5788.8</v>
      </c>
      <c r="AH44" s="73" t="s">
        <v>346</v>
      </c>
      <c r="AK44" s="72">
        <f>X28*0.3</f>
        <v>5925.5999999999995</v>
      </c>
      <c r="AL44" s="72">
        <f>AK28*0.3</f>
        <v>6008.4</v>
      </c>
      <c r="AM44" s="72">
        <f>IF(AQ6=0,0,AL28*0.3)</f>
        <v>5576.4</v>
      </c>
      <c r="AN44" s="72">
        <f>(AM27+AM29)*0.3</f>
        <v>1620</v>
      </c>
      <c r="AO44" s="72">
        <f>(AN27+AN29)*0.3</f>
        <v>1701</v>
      </c>
      <c r="AP44" s="72">
        <f>(AO27+AO29)*0.3</f>
        <v>1620</v>
      </c>
      <c r="AQ44" s="72">
        <f>IF(AQ6=0,AL28*0.3,(AP27+AP29)*0.3)</f>
        <v>1781.1</v>
      </c>
      <c r="AR44" s="72" t="s">
        <v>378</v>
      </c>
      <c r="AS44" s="72"/>
      <c r="AT44" s="72" t="s">
        <v>13</v>
      </c>
      <c r="BC44" s="72" t="s">
        <v>243</v>
      </c>
      <c r="BD44" s="72"/>
      <c r="BE44" s="72"/>
      <c r="BF44" s="72"/>
      <c r="BG44" s="72">
        <f t="shared" ref="BG44:BL44" si="79">(BF25+BF27+BF29)*0.3</f>
        <v>1468.8</v>
      </c>
      <c r="BH44" s="72">
        <f t="shared" si="79"/>
        <v>1314</v>
      </c>
      <c r="BI44" s="72">
        <f t="shared" si="79"/>
        <v>5087.7</v>
      </c>
      <c r="BJ44" s="72">
        <f t="shared" si="79"/>
        <v>5739.3</v>
      </c>
      <c r="BK44" s="72">
        <f t="shared" si="79"/>
        <v>6393.5999999999995</v>
      </c>
      <c r="BL44" s="72">
        <f t="shared" si="79"/>
        <v>7050.5999999999995</v>
      </c>
      <c r="BM44" s="72" t="s">
        <v>378</v>
      </c>
    </row>
    <row r="45" spans="1:65" x14ac:dyDescent="0.2">
      <c r="A45" s="82" t="s">
        <v>203</v>
      </c>
      <c r="B45" s="82">
        <f>IF($B$40=1,B39,IF($B$40=2,C39,IF($B$40=3,D39,0)))</f>
        <v>4000</v>
      </c>
      <c r="C45" s="82"/>
      <c r="D45" s="82">
        <f>ROUND(D44*100,2)</f>
        <v>49.3</v>
      </c>
      <c r="E45" s="78"/>
      <c r="F45" s="78"/>
      <c r="G45" s="78"/>
      <c r="H45" s="78"/>
      <c r="I45" s="78"/>
    </row>
    <row r="46" spans="1:65" x14ac:dyDescent="0.2">
      <c r="E46" s="83" t="s">
        <v>301</v>
      </c>
      <c r="F46" s="83"/>
      <c r="G46" s="83"/>
      <c r="H46" s="83"/>
      <c r="I46" s="83" t="str">
        <f>IF($J$46=1,"to not deliver",IF($J$46=2,"to operate an in-house delivery service with company cars",IF($J$46=3,"to operate an in-house delivery service using employee cars, but reimburse them",IF($J$46=4,"to offer deliveries via an external delivery service"))))</f>
        <v>to offer deliveries via an external delivery service</v>
      </c>
      <c r="J46" s="83">
        <v>4</v>
      </c>
      <c r="L46" s="73" t="s">
        <v>296</v>
      </c>
      <c r="M46" s="73">
        <f>ROUNDUP(M13/$G$39,0)</f>
        <v>1</v>
      </c>
      <c r="N46" s="73">
        <f t="shared" ref="N46:AF46" si="80">ROUNDUP(N13/$G$39,0)</f>
        <v>1</v>
      </c>
      <c r="O46" s="73">
        <f t="shared" si="80"/>
        <v>1</v>
      </c>
      <c r="P46" s="73">
        <f t="shared" si="80"/>
        <v>2</v>
      </c>
      <c r="Q46" s="73">
        <f t="shared" si="80"/>
        <v>2</v>
      </c>
      <c r="R46" s="73">
        <f t="shared" si="80"/>
        <v>2</v>
      </c>
      <c r="S46" s="73">
        <f t="shared" si="80"/>
        <v>2</v>
      </c>
      <c r="T46" s="73">
        <f t="shared" si="80"/>
        <v>2</v>
      </c>
      <c r="U46" s="73">
        <f t="shared" si="80"/>
        <v>2</v>
      </c>
      <c r="V46" s="73">
        <f t="shared" si="80"/>
        <v>2</v>
      </c>
      <c r="W46" s="73">
        <f t="shared" si="80"/>
        <v>2</v>
      </c>
      <c r="X46" s="73">
        <f t="shared" si="80"/>
        <v>3</v>
      </c>
      <c r="AA46" s="73">
        <f t="shared" si="80"/>
        <v>3</v>
      </c>
      <c r="AB46" s="73">
        <f t="shared" si="80"/>
        <v>2</v>
      </c>
      <c r="AC46" s="73">
        <f t="shared" si="80"/>
        <v>2</v>
      </c>
      <c r="AD46" s="73">
        <f t="shared" si="80"/>
        <v>2</v>
      </c>
      <c r="AE46" s="73">
        <f t="shared" si="80"/>
        <v>2</v>
      </c>
      <c r="AF46" s="73">
        <f t="shared" si="80"/>
        <v>2</v>
      </c>
      <c r="AK46" s="73">
        <f t="shared" ref="AK46:AL50" si="81">AA46</f>
        <v>3</v>
      </c>
      <c r="AL46" s="73">
        <f t="shared" si="81"/>
        <v>2</v>
      </c>
    </row>
    <row r="47" spans="1:65" x14ac:dyDescent="0.2">
      <c r="A47" s="73" t="s">
        <v>432</v>
      </c>
      <c r="E47" s="83"/>
      <c r="F47" s="83" t="s">
        <v>302</v>
      </c>
      <c r="G47" s="83" t="s">
        <v>303</v>
      </c>
      <c r="H47" s="83" t="s">
        <v>304</v>
      </c>
      <c r="I47" s="83" t="s">
        <v>305</v>
      </c>
      <c r="J47" s="83" t="s">
        <v>126</v>
      </c>
      <c r="L47" s="73" t="s">
        <v>297</v>
      </c>
      <c r="M47" s="73">
        <f>M46</f>
        <v>1</v>
      </c>
      <c r="N47" s="73">
        <f>IF(M47&gt;N46,M47,N46)</f>
        <v>1</v>
      </c>
      <c r="O47" s="73">
        <f t="shared" ref="O47:X47" si="82">IF(N47&gt;O46,N47,O46)</f>
        <v>1</v>
      </c>
      <c r="P47" s="73">
        <f t="shared" si="82"/>
        <v>2</v>
      </c>
      <c r="Q47" s="73">
        <f t="shared" si="82"/>
        <v>2</v>
      </c>
      <c r="R47" s="73">
        <f t="shared" si="82"/>
        <v>2</v>
      </c>
      <c r="S47" s="73">
        <f t="shared" si="82"/>
        <v>2</v>
      </c>
      <c r="T47" s="73">
        <f t="shared" si="82"/>
        <v>2</v>
      </c>
      <c r="U47" s="73">
        <f t="shared" si="82"/>
        <v>2</v>
      </c>
      <c r="V47" s="73">
        <f t="shared" si="82"/>
        <v>2</v>
      </c>
      <c r="W47" s="73">
        <f t="shared" si="82"/>
        <v>2</v>
      </c>
      <c r="X47" s="73">
        <f t="shared" si="82"/>
        <v>3</v>
      </c>
      <c r="AA47" s="73">
        <f>IF(X47&gt;AA46,X47,AA46)</f>
        <v>3</v>
      </c>
      <c r="AB47" s="73">
        <f>IF(AA47&gt;AB46,AA47,AB46)</f>
        <v>3</v>
      </c>
      <c r="AC47" s="73">
        <f>IF(AB47&gt;AC46,AB47,AC46)</f>
        <v>3</v>
      </c>
      <c r="AD47" s="73">
        <f>IF(AC47&gt;AD46,AC47,AD46)</f>
        <v>3</v>
      </c>
      <c r="AE47" s="73">
        <f>IF(AD47&gt;AE46,AD47,AE46)</f>
        <v>3</v>
      </c>
      <c r="AF47" s="73">
        <f>IF(AE47&gt;AF46,AE47,AF46)</f>
        <v>3</v>
      </c>
      <c r="AK47" s="73">
        <f t="shared" si="81"/>
        <v>3</v>
      </c>
      <c r="AL47" s="73">
        <f t="shared" si="81"/>
        <v>3</v>
      </c>
    </row>
    <row r="48" spans="1:65" x14ac:dyDescent="0.2">
      <c r="A48" s="73" t="s">
        <v>264</v>
      </c>
      <c r="B48" s="73">
        <v>5</v>
      </c>
      <c r="E48" s="83" t="s">
        <v>300</v>
      </c>
      <c r="F48" s="83">
        <v>0</v>
      </c>
      <c r="G48" s="83">
        <v>10000</v>
      </c>
      <c r="H48" s="83">
        <v>0</v>
      </c>
      <c r="I48" s="83">
        <v>0</v>
      </c>
      <c r="J48" s="83">
        <f>IF($J$46=1,F48,IF($J$46=2,G48,IF($J$46=3,H48,IF($J$46=4,I48,0))))</f>
        <v>0</v>
      </c>
      <c r="L48" s="73" t="s">
        <v>298</v>
      </c>
      <c r="M48" s="73">
        <f>M47</f>
        <v>1</v>
      </c>
      <c r="N48" s="73">
        <f>N47-M47</f>
        <v>0</v>
      </c>
      <c r="O48" s="73">
        <f t="shared" ref="O48:X48" si="83">O47-N47</f>
        <v>0</v>
      </c>
      <c r="P48" s="73">
        <f t="shared" si="83"/>
        <v>1</v>
      </c>
      <c r="Q48" s="73">
        <f t="shared" si="83"/>
        <v>0</v>
      </c>
      <c r="R48" s="73">
        <f t="shared" si="83"/>
        <v>0</v>
      </c>
      <c r="S48" s="73">
        <f t="shared" si="83"/>
        <v>0</v>
      </c>
      <c r="T48" s="73">
        <f t="shared" si="83"/>
        <v>0</v>
      </c>
      <c r="U48" s="73">
        <f t="shared" si="83"/>
        <v>0</v>
      </c>
      <c r="V48" s="73">
        <f t="shared" si="83"/>
        <v>0</v>
      </c>
      <c r="W48" s="73">
        <f t="shared" si="83"/>
        <v>0</v>
      </c>
      <c r="X48" s="73">
        <f t="shared" si="83"/>
        <v>1</v>
      </c>
      <c r="AA48" s="73">
        <f>AA47-X47</f>
        <v>0</v>
      </c>
      <c r="AB48" s="73">
        <f>AB47-AA47</f>
        <v>0</v>
      </c>
      <c r="AC48" s="73">
        <f>AC47-AB47</f>
        <v>0</v>
      </c>
      <c r="AD48" s="73">
        <f>AD47-AC47</f>
        <v>0</v>
      </c>
      <c r="AE48" s="73">
        <f>AE47-AD47</f>
        <v>0</v>
      </c>
      <c r="AF48" s="73">
        <f>AF47-AE47</f>
        <v>0</v>
      </c>
      <c r="AK48" s="73">
        <f t="shared" si="81"/>
        <v>0</v>
      </c>
      <c r="AL48" s="73">
        <f t="shared" si="81"/>
        <v>0</v>
      </c>
    </row>
    <row r="49" spans="1:66" x14ac:dyDescent="0.2">
      <c r="A49" s="73" t="s">
        <v>265</v>
      </c>
      <c r="B49" s="73">
        <v>6</v>
      </c>
      <c r="E49" s="83" t="s">
        <v>307</v>
      </c>
      <c r="F49" s="83">
        <v>0</v>
      </c>
      <c r="G49" s="83">
        <v>0.1</v>
      </c>
      <c r="H49" s="83">
        <v>0.1</v>
      </c>
      <c r="I49" s="83">
        <v>0.2</v>
      </c>
      <c r="J49" s="83">
        <f>IF($J$46=1,F49,IF($J$46=2,G49,IF($J$46=3,H49,IF($J$46=4,I49,0))))</f>
        <v>0.2</v>
      </c>
      <c r="L49" s="73" t="s">
        <v>299</v>
      </c>
      <c r="M49" s="73">
        <f>M48*$I$41</f>
        <v>8000</v>
      </c>
      <c r="N49" s="73">
        <f t="shared" ref="N49:AF49" si="84">N48*$I$41</f>
        <v>0</v>
      </c>
      <c r="O49" s="73">
        <f t="shared" si="84"/>
        <v>0</v>
      </c>
      <c r="P49" s="73">
        <f t="shared" si="84"/>
        <v>8000</v>
      </c>
      <c r="Q49" s="73">
        <f t="shared" si="84"/>
        <v>0</v>
      </c>
      <c r="R49" s="73">
        <f t="shared" si="84"/>
        <v>0</v>
      </c>
      <c r="S49" s="73">
        <f t="shared" si="84"/>
        <v>0</v>
      </c>
      <c r="T49" s="73">
        <f t="shared" si="84"/>
        <v>0</v>
      </c>
      <c r="U49" s="73">
        <f t="shared" si="84"/>
        <v>0</v>
      </c>
      <c r="V49" s="73">
        <f t="shared" si="84"/>
        <v>0</v>
      </c>
      <c r="W49" s="73">
        <f t="shared" si="84"/>
        <v>0</v>
      </c>
      <c r="X49" s="73">
        <f t="shared" si="84"/>
        <v>8000</v>
      </c>
      <c r="AA49" s="73">
        <f t="shared" si="84"/>
        <v>0</v>
      </c>
      <c r="AB49" s="73">
        <f t="shared" si="84"/>
        <v>0</v>
      </c>
      <c r="AC49" s="73">
        <f t="shared" si="84"/>
        <v>0</v>
      </c>
      <c r="AD49" s="73">
        <f t="shared" si="84"/>
        <v>0</v>
      </c>
      <c r="AE49" s="73">
        <f t="shared" si="84"/>
        <v>0</v>
      </c>
      <c r="AF49" s="73">
        <f t="shared" si="84"/>
        <v>0</v>
      </c>
      <c r="AK49" s="73">
        <f t="shared" si="81"/>
        <v>0</v>
      </c>
      <c r="AL49" s="73">
        <f t="shared" si="81"/>
        <v>0</v>
      </c>
    </row>
    <row r="50" spans="1:66" x14ac:dyDescent="0.2">
      <c r="A50" s="73" t="s">
        <v>433</v>
      </c>
      <c r="B50" s="73">
        <v>1</v>
      </c>
      <c r="E50" s="83" t="s">
        <v>310</v>
      </c>
      <c r="F50" s="83">
        <v>0.9</v>
      </c>
      <c r="G50" s="83">
        <v>1.08</v>
      </c>
      <c r="H50" s="83">
        <v>1.08</v>
      </c>
      <c r="I50" s="83">
        <v>1.35</v>
      </c>
      <c r="J50" s="83">
        <f>IF($J$46=1,F50,IF($J$46=2,G50,IF($J$46=3,H50,IF($J$46=4,I50,0))))</f>
        <v>1.35</v>
      </c>
      <c r="AK50" s="73">
        <f t="shared" si="81"/>
        <v>0</v>
      </c>
      <c r="AL50" s="73">
        <f t="shared" si="81"/>
        <v>0</v>
      </c>
    </row>
    <row r="51" spans="1:66" x14ac:dyDescent="0.2">
      <c r="A51" s="73" t="s">
        <v>274</v>
      </c>
      <c r="B51" s="73">
        <v>2</v>
      </c>
      <c r="E51" s="83" t="s">
        <v>356</v>
      </c>
      <c r="F51" s="83">
        <v>0</v>
      </c>
      <c r="G51" s="83">
        <v>0</v>
      </c>
      <c r="H51" s="83">
        <v>1.5</v>
      </c>
      <c r="I51" s="83">
        <v>0</v>
      </c>
      <c r="J51" s="83">
        <f>IF($J$46=1,F51,IF($J$46=2,G51,IF($J$46=3,H51,IF($J$46=4,I51,0))))</f>
        <v>0</v>
      </c>
      <c r="L51" s="73" t="s">
        <v>318</v>
      </c>
      <c r="M51" s="73">
        <f>M13*$J$49</f>
        <v>500.20000000000005</v>
      </c>
      <c r="N51" s="73">
        <f t="shared" ref="N51:AL51" si="85">N13*$J$49</f>
        <v>749</v>
      </c>
      <c r="O51" s="73">
        <f t="shared" si="85"/>
        <v>894.80000000000007</v>
      </c>
      <c r="P51" s="73">
        <f t="shared" si="85"/>
        <v>1121.4000000000001</v>
      </c>
      <c r="Q51" s="73">
        <f t="shared" si="85"/>
        <v>1208.2</v>
      </c>
      <c r="R51" s="73">
        <f t="shared" si="85"/>
        <v>1454</v>
      </c>
      <c r="S51" s="73">
        <f t="shared" si="85"/>
        <v>1414</v>
      </c>
      <c r="T51" s="73">
        <f t="shared" si="85"/>
        <v>1488.4</v>
      </c>
      <c r="U51" s="73">
        <f t="shared" si="85"/>
        <v>1703.8000000000002</v>
      </c>
      <c r="V51" s="73">
        <f t="shared" si="85"/>
        <v>1597.8000000000002</v>
      </c>
      <c r="W51" s="73">
        <f t="shared" si="85"/>
        <v>1637.4</v>
      </c>
      <c r="X51" s="73">
        <f t="shared" si="85"/>
        <v>2003.4</v>
      </c>
      <c r="AA51" s="73">
        <f t="shared" si="85"/>
        <v>2031.6000000000001</v>
      </c>
      <c r="AB51" s="73">
        <f t="shared" si="85"/>
        <v>1885.4</v>
      </c>
      <c r="AC51" s="73">
        <f t="shared" si="85"/>
        <v>1733</v>
      </c>
      <c r="AD51" s="73">
        <f t="shared" si="85"/>
        <v>1837.4</v>
      </c>
      <c r="AE51" s="73">
        <f t="shared" si="85"/>
        <v>1765.4</v>
      </c>
      <c r="AF51" s="73">
        <f t="shared" si="85"/>
        <v>1957</v>
      </c>
      <c r="AK51" s="73">
        <f t="shared" si="85"/>
        <v>2031.6000000000001</v>
      </c>
      <c r="AL51" s="73">
        <f t="shared" si="85"/>
        <v>1885.4</v>
      </c>
      <c r="AM51" s="73">
        <f>AM15</f>
        <v>1114</v>
      </c>
      <c r="AN51" s="73">
        <f>AN15</f>
        <v>1170</v>
      </c>
      <c r="AO51" s="73">
        <f>AO15</f>
        <v>1114</v>
      </c>
      <c r="AP51" s="73">
        <f>AP15</f>
        <v>1225</v>
      </c>
      <c r="AR51" s="73" t="s">
        <v>318</v>
      </c>
      <c r="AV51" s="73">
        <f>AV13*$J$49</f>
        <v>2031.6000000000001</v>
      </c>
      <c r="AW51" s="73">
        <f>AW13*$J$49</f>
        <v>1885.4</v>
      </c>
      <c r="AX51" s="73">
        <f>AX15</f>
        <v>1114</v>
      </c>
      <c r="AY51" s="73">
        <f>AY15</f>
        <v>1170</v>
      </c>
      <c r="AZ51" s="73">
        <f>AZ15</f>
        <v>1114</v>
      </c>
      <c r="BA51" s="73">
        <f>BA15</f>
        <v>1225</v>
      </c>
      <c r="BC51" s="73" t="s">
        <v>318</v>
      </c>
      <c r="BF51" s="73">
        <f t="shared" ref="BF51:BK51" si="86">BF11</f>
        <v>1010</v>
      </c>
      <c r="BG51" s="73">
        <f t="shared" si="86"/>
        <v>904</v>
      </c>
      <c r="BH51" s="73">
        <f t="shared" si="86"/>
        <v>795</v>
      </c>
      <c r="BI51" s="73">
        <f t="shared" si="86"/>
        <v>685</v>
      </c>
      <c r="BJ51" s="73">
        <f t="shared" si="86"/>
        <v>574</v>
      </c>
      <c r="BK51" s="73">
        <f t="shared" si="86"/>
        <v>461</v>
      </c>
    </row>
    <row r="52" spans="1:66" x14ac:dyDescent="0.2">
      <c r="E52" s="83" t="s">
        <v>327</v>
      </c>
      <c r="F52" s="83">
        <v>0</v>
      </c>
      <c r="G52" s="83">
        <v>0</v>
      </c>
      <c r="H52" s="83">
        <v>0</v>
      </c>
      <c r="I52" s="83">
        <v>0.25</v>
      </c>
      <c r="J52" s="83">
        <f>IF($J$46=1,F52,IF($J$46=2,G52,IF($J$46=3,H52,IF($J$46=4,I52,0))))</f>
        <v>0.25</v>
      </c>
      <c r="L52" s="73" t="s">
        <v>319</v>
      </c>
      <c r="S52" s="73">
        <f>S27*$J$49</f>
        <v>697</v>
      </c>
      <c r="T52" s="73">
        <f t="shared" ref="T52:AL52" si="87">T27*$J$49</f>
        <v>733.80000000000007</v>
      </c>
      <c r="U52" s="73">
        <f t="shared" si="87"/>
        <v>839.80000000000007</v>
      </c>
      <c r="V52" s="73">
        <f t="shared" si="87"/>
        <v>787.6</v>
      </c>
      <c r="W52" s="73">
        <f t="shared" si="87"/>
        <v>807.2</v>
      </c>
      <c r="X52" s="73">
        <f t="shared" si="87"/>
        <v>987.6</v>
      </c>
      <c r="AA52" s="73">
        <f t="shared" si="87"/>
        <v>1001.4000000000001</v>
      </c>
      <c r="AB52" s="73">
        <f t="shared" si="87"/>
        <v>929.40000000000009</v>
      </c>
      <c r="AC52" s="73">
        <f t="shared" si="87"/>
        <v>854.2</v>
      </c>
      <c r="AD52" s="73">
        <f t="shared" si="87"/>
        <v>905.80000000000007</v>
      </c>
      <c r="AE52" s="73">
        <f t="shared" si="87"/>
        <v>870.2</v>
      </c>
      <c r="AF52" s="73">
        <f t="shared" si="87"/>
        <v>964.80000000000007</v>
      </c>
      <c r="AK52" s="73">
        <f t="shared" si="87"/>
        <v>1001.4000000000001</v>
      </c>
      <c r="AL52" s="73">
        <f t="shared" si="87"/>
        <v>929.40000000000009</v>
      </c>
      <c r="AM52" s="73">
        <f>AM28</f>
        <v>1114</v>
      </c>
      <c r="AN52" s="73">
        <f>AN28</f>
        <v>1170</v>
      </c>
      <c r="AO52" s="73">
        <f>AO28</f>
        <v>1114</v>
      </c>
      <c r="AP52" s="73">
        <f>AP28</f>
        <v>1225</v>
      </c>
      <c r="AR52" s="73" t="s">
        <v>319</v>
      </c>
      <c r="AV52" s="73">
        <f>AV27*$J$49</f>
        <v>1001.4000000000001</v>
      </c>
      <c r="AW52" s="73">
        <f>AW27*$J$49</f>
        <v>929.40000000000009</v>
      </c>
      <c r="AX52" s="73">
        <f>AX28</f>
        <v>1114</v>
      </c>
      <c r="AY52" s="73">
        <f>AY28</f>
        <v>1170</v>
      </c>
      <c r="AZ52" s="73">
        <f>AZ28</f>
        <v>1114</v>
      </c>
      <c r="BA52" s="73">
        <f>BA28</f>
        <v>1225</v>
      </c>
      <c r="BC52" s="73" t="s">
        <v>319</v>
      </c>
      <c r="BF52" s="73">
        <f t="shared" ref="BF52:BK52" si="88">BF26</f>
        <v>1010</v>
      </c>
      <c r="BG52" s="73">
        <f t="shared" si="88"/>
        <v>904</v>
      </c>
      <c r="BH52" s="73">
        <f t="shared" si="88"/>
        <v>795</v>
      </c>
      <c r="BI52" s="73">
        <f t="shared" si="88"/>
        <v>685</v>
      </c>
      <c r="BJ52" s="73">
        <f t="shared" si="88"/>
        <v>574</v>
      </c>
      <c r="BK52" s="73">
        <f t="shared" si="88"/>
        <v>461</v>
      </c>
    </row>
    <row r="53" spans="1:66" x14ac:dyDescent="0.2">
      <c r="E53" s="83" t="s">
        <v>313</v>
      </c>
      <c r="F53" s="83"/>
      <c r="G53" s="83" t="s">
        <v>314</v>
      </c>
      <c r="H53" s="83" t="s">
        <v>315</v>
      </c>
      <c r="I53" s="83" t="s">
        <v>316</v>
      </c>
      <c r="J53" s="83" t="str">
        <f>IF($J$46=1,"",IF($J$46=2,G53,IF($J$46=3,H53,IF($J$46=4,I53,0))))</f>
        <v>Delivery App Usage Expenses</v>
      </c>
      <c r="L53" s="73" t="s">
        <v>312</v>
      </c>
      <c r="M53" s="73">
        <f t="shared" ref="M53:R53" si="89">M51*$J$51</f>
        <v>0</v>
      </c>
      <c r="N53" s="73">
        <f t="shared" si="89"/>
        <v>0</v>
      </c>
      <c r="O53" s="73">
        <f t="shared" si="89"/>
        <v>0</v>
      </c>
      <c r="P53" s="73">
        <f t="shared" si="89"/>
        <v>0</v>
      </c>
      <c r="Q53" s="73">
        <f t="shared" si="89"/>
        <v>0</v>
      </c>
      <c r="R53" s="73">
        <f t="shared" si="89"/>
        <v>0</v>
      </c>
      <c r="S53" s="73">
        <f t="shared" ref="S53:X53" si="90">(S51+S52)*$J$51*$D$45/100</f>
        <v>0</v>
      </c>
      <c r="T53" s="73">
        <f t="shared" si="90"/>
        <v>0</v>
      </c>
      <c r="U53" s="73">
        <f t="shared" si="90"/>
        <v>0</v>
      </c>
      <c r="V53" s="73">
        <f t="shared" si="90"/>
        <v>0</v>
      </c>
      <c r="W53" s="73">
        <f t="shared" si="90"/>
        <v>0</v>
      </c>
      <c r="X53" s="73">
        <f t="shared" si="90"/>
        <v>0</v>
      </c>
      <c r="AA53" s="73">
        <f t="shared" ref="AA53:AF53" si="91">(AA51+AA52)*$J$51*$D$45/100</f>
        <v>0</v>
      </c>
      <c r="AB53" s="73">
        <f t="shared" si="91"/>
        <v>0</v>
      </c>
      <c r="AC53" s="73">
        <f t="shared" si="91"/>
        <v>0</v>
      </c>
      <c r="AD53" s="73">
        <f t="shared" si="91"/>
        <v>0</v>
      </c>
      <c r="AE53" s="73">
        <f t="shared" si="91"/>
        <v>0</v>
      </c>
      <c r="AF53" s="73">
        <f t="shared" si="91"/>
        <v>0</v>
      </c>
      <c r="AK53" s="73">
        <f>ROUND((AK51+AK52)*$J$51*$D$45/100,2)</f>
        <v>0</v>
      </c>
      <c r="AL53" s="73">
        <f>ROUND((AL51+AL52)*$J$51*$D$45/100,2)</f>
        <v>0</v>
      </c>
      <c r="AM53" s="73">
        <f>ROUND((AM51+AM52)*$F$61*$E$75/100,2)</f>
        <v>3342</v>
      </c>
      <c r="AN53" s="73">
        <f>ROUND((AN51+AN52)*$F$61*$E$75/100,2)</f>
        <v>3510</v>
      </c>
      <c r="AO53" s="73">
        <f>ROUND((AO51+AO52)*$F$61*$E$75/100,2)</f>
        <v>3342</v>
      </c>
      <c r="AP53" s="73">
        <f>ROUND((AP51+AP52)*$F$61*$E$75/100,2)</f>
        <v>3675</v>
      </c>
      <c r="BC53" s="73" t="s">
        <v>488</v>
      </c>
      <c r="BF53" s="73">
        <f t="shared" ref="BF53:BK53" si="92">ROUND((BF51+BF52)*$F$61*$E$75/100,2)</f>
        <v>3030</v>
      </c>
      <c r="BG53" s="73">
        <f t="shared" si="92"/>
        <v>2712</v>
      </c>
      <c r="BH53" s="73">
        <f t="shared" si="92"/>
        <v>2385</v>
      </c>
      <c r="BI53" s="73">
        <f t="shared" si="92"/>
        <v>2055</v>
      </c>
      <c r="BJ53" s="73">
        <f t="shared" si="92"/>
        <v>1722</v>
      </c>
      <c r="BK53" s="73">
        <f t="shared" si="92"/>
        <v>1383</v>
      </c>
    </row>
    <row r="55" spans="1:66" x14ac:dyDescent="0.2">
      <c r="A55" s="73" t="s">
        <v>355</v>
      </c>
      <c r="L55" s="73" t="s">
        <v>317</v>
      </c>
      <c r="M55" s="73">
        <f t="shared" ref="M55:AP55" si="93">M51+M52</f>
        <v>500.20000000000005</v>
      </c>
      <c r="N55" s="73">
        <f t="shared" si="93"/>
        <v>749</v>
      </c>
      <c r="O55" s="73">
        <f t="shared" si="93"/>
        <v>894.80000000000007</v>
      </c>
      <c r="P55" s="73">
        <f t="shared" si="93"/>
        <v>1121.4000000000001</v>
      </c>
      <c r="Q55" s="73">
        <f t="shared" si="93"/>
        <v>1208.2</v>
      </c>
      <c r="R55" s="73">
        <f t="shared" si="93"/>
        <v>1454</v>
      </c>
      <c r="S55" s="73">
        <f t="shared" si="93"/>
        <v>2111</v>
      </c>
      <c r="T55" s="73">
        <f t="shared" si="93"/>
        <v>2222.2000000000003</v>
      </c>
      <c r="U55" s="73">
        <f t="shared" si="93"/>
        <v>2543.6000000000004</v>
      </c>
      <c r="V55" s="73">
        <f t="shared" si="93"/>
        <v>2385.4</v>
      </c>
      <c r="W55" s="73">
        <f t="shared" si="93"/>
        <v>2444.6000000000004</v>
      </c>
      <c r="X55" s="73">
        <f t="shared" si="93"/>
        <v>2991</v>
      </c>
      <c r="AA55" s="73">
        <f t="shared" si="93"/>
        <v>3033</v>
      </c>
      <c r="AB55" s="73">
        <f t="shared" si="93"/>
        <v>2814.8</v>
      </c>
      <c r="AC55" s="73">
        <f t="shared" si="93"/>
        <v>2587.1999999999998</v>
      </c>
      <c r="AD55" s="73">
        <f t="shared" si="93"/>
        <v>2743.2000000000003</v>
      </c>
      <c r="AE55" s="73">
        <f t="shared" si="93"/>
        <v>2635.6000000000004</v>
      </c>
      <c r="AF55" s="73">
        <f t="shared" si="93"/>
        <v>2921.8</v>
      </c>
      <c r="AK55" s="73">
        <f t="shared" si="93"/>
        <v>3033</v>
      </c>
      <c r="AL55" s="73">
        <f t="shared" si="93"/>
        <v>2814.8</v>
      </c>
      <c r="AM55" s="73">
        <f t="shared" si="93"/>
        <v>2228</v>
      </c>
      <c r="AN55" s="73">
        <f t="shared" si="93"/>
        <v>2340</v>
      </c>
      <c r="AO55" s="73">
        <f t="shared" si="93"/>
        <v>2228</v>
      </c>
      <c r="AP55" s="73">
        <f t="shared" si="93"/>
        <v>2450</v>
      </c>
      <c r="AV55" s="73">
        <f t="shared" ref="AV55:BA55" si="94">AV51+AV52</f>
        <v>3033</v>
      </c>
      <c r="AW55" s="73">
        <f t="shared" si="94"/>
        <v>2814.8</v>
      </c>
      <c r="AX55" s="73">
        <f t="shared" si="94"/>
        <v>2228</v>
      </c>
      <c r="AY55" s="73">
        <f t="shared" si="94"/>
        <v>2340</v>
      </c>
      <c r="AZ55" s="73">
        <f t="shared" si="94"/>
        <v>2228</v>
      </c>
      <c r="BA55" s="73">
        <f t="shared" si="94"/>
        <v>2450</v>
      </c>
      <c r="BC55" s="73" t="s">
        <v>417</v>
      </c>
      <c r="BF55" s="73">
        <f t="shared" ref="BF55:BK55" si="95">BF11+BF26</f>
        <v>2020</v>
      </c>
      <c r="BG55" s="73">
        <f t="shared" si="95"/>
        <v>1808</v>
      </c>
      <c r="BH55" s="73">
        <f t="shared" si="95"/>
        <v>1590</v>
      </c>
      <c r="BI55" s="73">
        <f t="shared" si="95"/>
        <v>1370</v>
      </c>
      <c r="BJ55" s="73">
        <f t="shared" si="95"/>
        <v>1148</v>
      </c>
      <c r="BK55" s="73">
        <f t="shared" si="95"/>
        <v>922</v>
      </c>
    </row>
    <row r="56" spans="1:66" x14ac:dyDescent="0.2">
      <c r="A56" s="86" t="s">
        <v>301</v>
      </c>
      <c r="B56" s="86"/>
      <c r="C56" s="86"/>
      <c r="D56" s="86"/>
      <c r="E56" s="86"/>
      <c r="F56" s="86">
        <v>3</v>
      </c>
      <c r="G56" s="87" t="s">
        <v>390</v>
      </c>
      <c r="H56" s="87">
        <f>ROUND(N15*0.6,0)+1</f>
        <v>4</v>
      </c>
      <c r="L56" s="73" t="s">
        <v>320</v>
      </c>
      <c r="M56" s="73">
        <f>ROUNDUP(M55/3000,0)</f>
        <v>1</v>
      </c>
      <c r="N56" s="73">
        <f t="shared" ref="N56:AF56" si="96">ROUNDUP(N55/3000,0)</f>
        <v>1</v>
      </c>
      <c r="O56" s="73">
        <f t="shared" si="96"/>
        <v>1</v>
      </c>
      <c r="P56" s="73">
        <f t="shared" si="96"/>
        <v>1</v>
      </c>
      <c r="Q56" s="73">
        <f t="shared" si="96"/>
        <v>1</v>
      </c>
      <c r="R56" s="73">
        <f t="shared" si="96"/>
        <v>1</v>
      </c>
      <c r="S56" s="73">
        <f t="shared" si="96"/>
        <v>1</v>
      </c>
      <c r="T56" s="73">
        <f t="shared" si="96"/>
        <v>1</v>
      </c>
      <c r="U56" s="73">
        <f t="shared" si="96"/>
        <v>1</v>
      </c>
      <c r="V56" s="73">
        <f t="shared" si="96"/>
        <v>1</v>
      </c>
      <c r="W56" s="73">
        <f t="shared" si="96"/>
        <v>1</v>
      </c>
      <c r="X56" s="73">
        <f t="shared" si="96"/>
        <v>1</v>
      </c>
      <c r="AA56" s="73">
        <f t="shared" si="96"/>
        <v>2</v>
      </c>
      <c r="AB56" s="73">
        <f t="shared" si="96"/>
        <v>1</v>
      </c>
      <c r="AC56" s="73">
        <f t="shared" si="96"/>
        <v>1</v>
      </c>
      <c r="AD56" s="73">
        <f t="shared" si="96"/>
        <v>1</v>
      </c>
      <c r="AE56" s="73">
        <f t="shared" si="96"/>
        <v>1</v>
      </c>
      <c r="AF56" s="73">
        <f t="shared" si="96"/>
        <v>1</v>
      </c>
      <c r="AG56" s="73" t="s">
        <v>320</v>
      </c>
      <c r="AK56" s="73">
        <f>AA56</f>
        <v>2</v>
      </c>
      <c r="AL56" s="73">
        <f>AB56</f>
        <v>1</v>
      </c>
      <c r="AM56" s="73">
        <f>ROUNDUP(AM55/3000,0)</f>
        <v>1</v>
      </c>
      <c r="AN56" s="73">
        <f>ROUNDUP(AN55/3000,0)</f>
        <v>1</v>
      </c>
      <c r="AO56" s="73">
        <f>ROUNDUP(AO55/3000,0)</f>
        <v>1</v>
      </c>
      <c r="AP56" s="73">
        <f>ROUNDUP(AP55/3000,0)</f>
        <v>1</v>
      </c>
      <c r="AQ56" s="73" t="s">
        <v>320</v>
      </c>
      <c r="AV56" s="73">
        <f t="shared" ref="AV56:BA56" si="97">ROUNDUP(AV55/3000,0)</f>
        <v>2</v>
      </c>
      <c r="AW56" s="73">
        <f t="shared" si="97"/>
        <v>1</v>
      </c>
      <c r="AX56" s="73">
        <f t="shared" si="97"/>
        <v>1</v>
      </c>
      <c r="AY56" s="73">
        <f t="shared" si="97"/>
        <v>1</v>
      </c>
      <c r="AZ56" s="73">
        <f t="shared" si="97"/>
        <v>1</v>
      </c>
      <c r="BA56" s="73">
        <f t="shared" si="97"/>
        <v>1</v>
      </c>
      <c r="BC56" s="73" t="s">
        <v>416</v>
      </c>
      <c r="BF56" s="73">
        <f t="shared" ref="BF56:BK56" si="98">ROUNDUP(BF55/3000,0)</f>
        <v>1</v>
      </c>
      <c r="BG56" s="73">
        <f t="shared" si="98"/>
        <v>1</v>
      </c>
      <c r="BH56" s="73">
        <f t="shared" si="98"/>
        <v>1</v>
      </c>
      <c r="BI56" s="73">
        <f t="shared" si="98"/>
        <v>1</v>
      </c>
      <c r="BJ56" s="73">
        <f t="shared" si="98"/>
        <v>1</v>
      </c>
      <c r="BK56" s="73">
        <f t="shared" si="98"/>
        <v>1</v>
      </c>
    </row>
    <row r="57" spans="1:66" x14ac:dyDescent="0.2">
      <c r="A57" s="86"/>
      <c r="B57" s="86" t="s">
        <v>302</v>
      </c>
      <c r="C57" s="86" t="s">
        <v>303</v>
      </c>
      <c r="D57" s="86" t="s">
        <v>304</v>
      </c>
      <c r="E57" s="86" t="s">
        <v>305</v>
      </c>
      <c r="F57" s="86" t="s">
        <v>126</v>
      </c>
      <c r="G57" s="87" t="s">
        <v>386</v>
      </c>
      <c r="H57" s="87">
        <f>IF(AND(F56=1,E66=2),0,MAX(AX21:BA21))</f>
        <v>5</v>
      </c>
      <c r="L57" s="73" t="s">
        <v>321</v>
      </c>
      <c r="M57" s="73">
        <f>M56</f>
        <v>1</v>
      </c>
      <c r="N57" s="73">
        <f>IF(M57&gt;N56,M57,N56)</f>
        <v>1</v>
      </c>
      <c r="O57" s="73">
        <f t="shared" ref="O57:X57" si="99">IF(N57&gt;O56,N57,O56)</f>
        <v>1</v>
      </c>
      <c r="P57" s="73">
        <f t="shared" si="99"/>
        <v>1</v>
      </c>
      <c r="Q57" s="73">
        <f t="shared" si="99"/>
        <v>1</v>
      </c>
      <c r="R57" s="73">
        <f t="shared" si="99"/>
        <v>1</v>
      </c>
      <c r="S57" s="73">
        <f t="shared" si="99"/>
        <v>1</v>
      </c>
      <c r="T57" s="73">
        <f t="shared" si="99"/>
        <v>1</v>
      </c>
      <c r="U57" s="73">
        <f t="shared" si="99"/>
        <v>1</v>
      </c>
      <c r="V57" s="73">
        <f t="shared" si="99"/>
        <v>1</v>
      </c>
      <c r="W57" s="73">
        <f t="shared" si="99"/>
        <v>1</v>
      </c>
      <c r="X57" s="73">
        <f t="shared" si="99"/>
        <v>1</v>
      </c>
      <c r="AA57" s="73">
        <f>IF(X57&gt;AA56,X57,AA56)</f>
        <v>2</v>
      </c>
      <c r="AB57" s="73">
        <f>IF(AA57&gt;AB56,AA57,AB56)</f>
        <v>2</v>
      </c>
      <c r="AC57" s="73">
        <f>IF(AB57&gt;AC56,AB57,AC56)</f>
        <v>2</v>
      </c>
      <c r="AD57" s="73">
        <f>IF(AC57&gt;AD56,AC57,AD56)</f>
        <v>2</v>
      </c>
      <c r="AE57" s="73">
        <f>IF(AD57&gt;AE56,AD57,AE56)</f>
        <v>2</v>
      </c>
      <c r="AF57" s="73">
        <f>IF(AE57&gt;AF56,AE57,AF56)</f>
        <v>2</v>
      </c>
      <c r="AG57" s="73" t="s">
        <v>321</v>
      </c>
      <c r="AK57" s="73">
        <f>IF(J46=2,AA57,0)</f>
        <v>0</v>
      </c>
      <c r="AL57" s="73">
        <f>IF(J46=2,AB57,0)</f>
        <v>0</v>
      </c>
      <c r="AM57" s="73">
        <f>IF(AL57&gt;AM56,AL57,AM56)</f>
        <v>1</v>
      </c>
      <c r="AN57" s="73">
        <f>IF(AM57&gt;AN56,AM57,AN56)</f>
        <v>1</v>
      </c>
      <c r="AO57" s="73">
        <f>IF(AN57&gt;AO56,AN57,AO56)</f>
        <v>1</v>
      </c>
      <c r="AP57" s="73">
        <f>IF(AO57&gt;AP56,AO57,AP56)</f>
        <v>1</v>
      </c>
      <c r="AQ57" s="73" t="s">
        <v>321</v>
      </c>
    </row>
    <row r="58" spans="1:66" x14ac:dyDescent="0.2">
      <c r="A58" s="86" t="s">
        <v>300</v>
      </c>
      <c r="B58" s="86">
        <v>0</v>
      </c>
      <c r="C58" s="86">
        <v>15000</v>
      </c>
      <c r="D58" s="86">
        <v>0</v>
      </c>
      <c r="E58" s="86">
        <v>0</v>
      </c>
      <c r="F58" s="86">
        <f>IF($F$56=1,B58,IF($F$56=2,C58,IF($F$56=3,D58,IF($F$56=4,E58,0))))</f>
        <v>0</v>
      </c>
      <c r="G58" s="87" t="s">
        <v>387</v>
      </c>
      <c r="H58" s="87">
        <v>9</v>
      </c>
      <c r="L58" s="73" t="s">
        <v>322</v>
      </c>
      <c r="M58" s="73">
        <f>M57</f>
        <v>1</v>
      </c>
      <c r="N58" s="73">
        <f>N57-M57</f>
        <v>0</v>
      </c>
      <c r="O58" s="73">
        <f t="shared" ref="O58:X58" si="100">O57-N57</f>
        <v>0</v>
      </c>
      <c r="P58" s="73">
        <f t="shared" si="100"/>
        <v>0</v>
      </c>
      <c r="Q58" s="73">
        <f t="shared" si="100"/>
        <v>0</v>
      </c>
      <c r="R58" s="73">
        <f t="shared" si="100"/>
        <v>0</v>
      </c>
      <c r="S58" s="73">
        <f t="shared" si="100"/>
        <v>0</v>
      </c>
      <c r="T58" s="73">
        <f t="shared" si="100"/>
        <v>0</v>
      </c>
      <c r="U58" s="73">
        <f t="shared" si="100"/>
        <v>0</v>
      </c>
      <c r="V58" s="73">
        <f t="shared" si="100"/>
        <v>0</v>
      </c>
      <c r="W58" s="73">
        <f t="shared" si="100"/>
        <v>0</v>
      </c>
      <c r="X58" s="73">
        <f t="shared" si="100"/>
        <v>0</v>
      </c>
      <c r="AA58" s="73">
        <f>AA57-X57</f>
        <v>1</v>
      </c>
      <c r="AB58" s="73">
        <f>AB57-AA57</f>
        <v>0</v>
      </c>
      <c r="AC58" s="73">
        <f>AC57-AB57</f>
        <v>0</v>
      </c>
      <c r="AD58" s="73">
        <f>AD57-AC57</f>
        <v>0</v>
      </c>
      <c r="AE58" s="73">
        <f>AE57-AD57</f>
        <v>0</v>
      </c>
      <c r="AF58" s="73">
        <f>AF57-AE57</f>
        <v>0</v>
      </c>
      <c r="AG58" s="73" t="s">
        <v>322</v>
      </c>
      <c r="AK58" s="73">
        <f>AA58</f>
        <v>1</v>
      </c>
      <c r="AL58" s="73">
        <f>AL57-AK57</f>
        <v>0</v>
      </c>
      <c r="AM58" s="73">
        <f>AM57-AL57</f>
        <v>1</v>
      </c>
      <c r="AN58" s="73">
        <f>AN57-AM57</f>
        <v>0</v>
      </c>
      <c r="AO58" s="73">
        <f>AO57-AN57</f>
        <v>0</v>
      </c>
      <c r="AP58" s="73">
        <f>AP57-AO57</f>
        <v>0</v>
      </c>
      <c r="AQ58" s="73" t="s">
        <v>322</v>
      </c>
    </row>
    <row r="59" spans="1:66" x14ac:dyDescent="0.2">
      <c r="A59" s="86" t="s">
        <v>366</v>
      </c>
      <c r="B59" s="86">
        <v>0</v>
      </c>
      <c r="C59" s="86">
        <v>0.1</v>
      </c>
      <c r="D59" s="86">
        <v>0.1</v>
      </c>
      <c r="E59" s="86">
        <v>0.15</v>
      </c>
      <c r="F59" s="86">
        <f>IF($F$56=1,B59,IF($F$56=2,C59,IF($F$56=3,D59,IF($F$56=4,E59,0))))</f>
        <v>0.1</v>
      </c>
      <c r="G59" s="87" t="s">
        <v>388</v>
      </c>
      <c r="H59" s="87">
        <f>IF(J2*160&lt;3000,3000,J2*160)</f>
        <v>3200</v>
      </c>
      <c r="L59" s="73" t="s">
        <v>323</v>
      </c>
      <c r="M59" s="73">
        <f>M58*$J$48</f>
        <v>0</v>
      </c>
      <c r="N59" s="73">
        <f t="shared" ref="N59:W59" si="101">N58*$J$48</f>
        <v>0</v>
      </c>
      <c r="O59" s="73">
        <f t="shared" si="101"/>
        <v>0</v>
      </c>
      <c r="P59" s="73">
        <f t="shared" si="101"/>
        <v>0</v>
      </c>
      <c r="Q59" s="73">
        <f t="shared" si="101"/>
        <v>0</v>
      </c>
      <c r="R59" s="73">
        <f t="shared" si="101"/>
        <v>0</v>
      </c>
      <c r="S59" s="73">
        <f t="shared" si="101"/>
        <v>0</v>
      </c>
      <c r="T59" s="73">
        <f t="shared" si="101"/>
        <v>0</v>
      </c>
      <c r="U59" s="73">
        <f t="shared" si="101"/>
        <v>0</v>
      </c>
      <c r="V59" s="73">
        <f t="shared" si="101"/>
        <v>0</v>
      </c>
      <c r="W59" s="73">
        <f t="shared" si="101"/>
        <v>0</v>
      </c>
      <c r="X59" s="73">
        <f>X58*$J$48</f>
        <v>0</v>
      </c>
      <c r="Y59" s="73">
        <f>SUM(M59:X59)</f>
        <v>0</v>
      </c>
      <c r="Z59" s="73" t="s">
        <v>401</v>
      </c>
      <c r="AA59" s="73">
        <f t="shared" ref="AA59:AF59" si="102">AA58*$J$48</f>
        <v>0</v>
      </c>
      <c r="AB59" s="73">
        <f t="shared" si="102"/>
        <v>0</v>
      </c>
      <c r="AC59" s="73">
        <f t="shared" si="102"/>
        <v>0</v>
      </c>
      <c r="AD59" s="73">
        <f t="shared" si="102"/>
        <v>0</v>
      </c>
      <c r="AE59" s="73">
        <f t="shared" si="102"/>
        <v>0</v>
      </c>
      <c r="AF59" s="73">
        <f t="shared" si="102"/>
        <v>0</v>
      </c>
      <c r="AK59" s="73">
        <f>AK58*$J$48</f>
        <v>0</v>
      </c>
      <c r="AL59" s="73">
        <f>AL58*$J$48</f>
        <v>0</v>
      </c>
      <c r="AM59" s="73">
        <f>AM58*$F$58</f>
        <v>0</v>
      </c>
      <c r="AN59" s="73">
        <f>AN58*$F$58</f>
        <v>0</v>
      </c>
      <c r="AO59" s="73">
        <f>AO58*$F$58</f>
        <v>0</v>
      </c>
      <c r="AP59" s="73">
        <f>AP58*$F$58</f>
        <v>0</v>
      </c>
      <c r="AQ59" s="73">
        <f>SUM(AK59:AP59)</f>
        <v>0</v>
      </c>
      <c r="AR59" s="73">
        <f>Y59+AQ59</f>
        <v>0</v>
      </c>
      <c r="AS59" s="73" t="s">
        <v>399</v>
      </c>
      <c r="BC59" s="73" t="s">
        <v>482</v>
      </c>
      <c r="BE59" s="73">
        <f>AQ60</f>
        <v>0</v>
      </c>
      <c r="BF59" s="73">
        <v>0</v>
      </c>
      <c r="BG59" s="73">
        <v>0</v>
      </c>
      <c r="BH59" s="73">
        <v>0</v>
      </c>
      <c r="BI59" s="73">
        <v>0</v>
      </c>
      <c r="BJ59" s="73">
        <v>0</v>
      </c>
      <c r="BK59" s="73">
        <v>0</v>
      </c>
      <c r="BL59" s="73" t="s">
        <v>490</v>
      </c>
    </row>
    <row r="60" spans="1:66" x14ac:dyDescent="0.2">
      <c r="A60" s="86" t="s">
        <v>357</v>
      </c>
      <c r="B60" s="86">
        <v>0</v>
      </c>
      <c r="C60" s="86">
        <f>I2</f>
        <v>5000</v>
      </c>
      <c r="D60" s="86">
        <f>I2</f>
        <v>5000</v>
      </c>
      <c r="E60" s="86">
        <f>I2</f>
        <v>5000</v>
      </c>
      <c r="F60" s="86">
        <f>IF($F$56=1,B60,IF($F$56=2,C60,IF($F$56=3,D60,IF($F$56=4,E60,0))))</f>
        <v>5000</v>
      </c>
      <c r="G60" s="87" t="s">
        <v>389</v>
      </c>
      <c r="H60" s="87">
        <f>MIN(H58,H56)</f>
        <v>4</v>
      </c>
      <c r="L60" s="73" t="s">
        <v>329</v>
      </c>
      <c r="M60" s="73">
        <f>(M59/10)*(M24/12)</f>
        <v>0</v>
      </c>
      <c r="N60" s="73">
        <f t="shared" ref="N60:W60" si="103">(N59/10)*(N24/12)</f>
        <v>0</v>
      </c>
      <c r="O60" s="73">
        <f t="shared" si="103"/>
        <v>0</v>
      </c>
      <c r="P60" s="73">
        <f t="shared" si="103"/>
        <v>0</v>
      </c>
      <c r="Q60" s="73">
        <f t="shared" si="103"/>
        <v>0</v>
      </c>
      <c r="R60" s="73">
        <f t="shared" si="103"/>
        <v>0</v>
      </c>
      <c r="S60" s="73">
        <f t="shared" si="103"/>
        <v>0</v>
      </c>
      <c r="T60" s="73">
        <f t="shared" si="103"/>
        <v>0</v>
      </c>
      <c r="U60" s="73">
        <f t="shared" si="103"/>
        <v>0</v>
      </c>
      <c r="V60" s="73">
        <f t="shared" si="103"/>
        <v>0</v>
      </c>
      <c r="W60" s="73">
        <f t="shared" si="103"/>
        <v>0</v>
      </c>
      <c r="X60" s="73">
        <f>(X59/10)*(X24/12)</f>
        <v>0</v>
      </c>
      <c r="Y60" s="73">
        <f>SUM(M60:X60)</f>
        <v>0</v>
      </c>
      <c r="Z60" s="73">
        <f>Y59/20</f>
        <v>0</v>
      </c>
      <c r="AA60" s="73">
        <f t="shared" ref="AA60:AF60" si="104">(AA59/10)*(AA24/12)</f>
        <v>0</v>
      </c>
      <c r="AB60" s="73">
        <f t="shared" si="104"/>
        <v>0</v>
      </c>
      <c r="AC60" s="73">
        <f t="shared" si="104"/>
        <v>0</v>
      </c>
      <c r="AD60" s="73">
        <f t="shared" si="104"/>
        <v>0</v>
      </c>
      <c r="AE60" s="73">
        <f t="shared" si="104"/>
        <v>0</v>
      </c>
      <c r="AF60" s="73">
        <f t="shared" si="104"/>
        <v>0</v>
      </c>
      <c r="AG60" s="73">
        <f>SUM(AA60:AF60)</f>
        <v>0</v>
      </c>
      <c r="AH60" s="73" t="s">
        <v>383</v>
      </c>
      <c r="AK60" s="73">
        <f t="shared" ref="AK60:AP60" si="105">(AK59/10)*(AK24/12)</f>
        <v>0</v>
      </c>
      <c r="AL60" s="73">
        <f t="shared" si="105"/>
        <v>0</v>
      </c>
      <c r="AM60" s="73">
        <f t="shared" si="105"/>
        <v>0</v>
      </c>
      <c r="AN60" s="73">
        <f t="shared" si="105"/>
        <v>0</v>
      </c>
      <c r="AO60" s="73">
        <f t="shared" si="105"/>
        <v>0</v>
      </c>
      <c r="AP60" s="73">
        <f t="shared" si="105"/>
        <v>0</v>
      </c>
      <c r="AQ60" s="73">
        <f>SUM(AK60:AP60)</f>
        <v>0</v>
      </c>
      <c r="AR60" s="73" t="s">
        <v>383</v>
      </c>
      <c r="BC60" s="73" t="s">
        <v>483</v>
      </c>
      <c r="BE60" s="73">
        <f>AR61</f>
        <v>0</v>
      </c>
    </row>
    <row r="61" spans="1:66" x14ac:dyDescent="0.2">
      <c r="A61" s="86" t="s">
        <v>356</v>
      </c>
      <c r="B61" s="86">
        <v>0</v>
      </c>
      <c r="C61" s="86">
        <v>0</v>
      </c>
      <c r="D61" s="86">
        <v>1.5</v>
      </c>
      <c r="E61" s="86">
        <v>0</v>
      </c>
      <c r="F61" s="86">
        <f>IF($F$56=1,B61,IF($F$56=2,C61,IF($F$56=3,D61,IF($F$56=4,E61,0))))</f>
        <v>1.5</v>
      </c>
      <c r="G61" s="87" t="s">
        <v>391</v>
      </c>
      <c r="H61" s="87">
        <f>H60*3000</f>
        <v>12000</v>
      </c>
      <c r="L61" s="73" t="s">
        <v>326</v>
      </c>
      <c r="M61" s="73">
        <f>M14+M27</f>
        <v>47519</v>
      </c>
      <c r="N61" s="73">
        <f t="shared" ref="N61:AF61" si="106">N14+N27</f>
        <v>71155</v>
      </c>
      <c r="O61" s="73">
        <f t="shared" si="106"/>
        <v>85006</v>
      </c>
      <c r="P61" s="73">
        <f t="shared" si="106"/>
        <v>106533</v>
      </c>
      <c r="Q61" s="73">
        <f t="shared" si="106"/>
        <v>114779</v>
      </c>
      <c r="R61" s="73">
        <f t="shared" si="106"/>
        <v>138130</v>
      </c>
      <c r="S61" s="73">
        <f t="shared" si="106"/>
        <v>137815</v>
      </c>
      <c r="T61" s="73">
        <f t="shared" si="106"/>
        <v>145067</v>
      </c>
      <c r="U61" s="73">
        <f t="shared" si="106"/>
        <v>166060</v>
      </c>
      <c r="V61" s="73">
        <f t="shared" si="106"/>
        <v>155729</v>
      </c>
      <c r="W61" s="73">
        <f t="shared" si="106"/>
        <v>159589</v>
      </c>
      <c r="X61" s="73">
        <f t="shared" si="106"/>
        <v>195261</v>
      </c>
      <c r="AA61" s="73">
        <f t="shared" si="106"/>
        <v>198009</v>
      </c>
      <c r="AB61" s="73">
        <f t="shared" si="106"/>
        <v>183760</v>
      </c>
      <c r="AC61" s="73">
        <f t="shared" si="106"/>
        <v>168906</v>
      </c>
      <c r="AD61" s="73">
        <f t="shared" si="106"/>
        <v>179082</v>
      </c>
      <c r="AE61" s="73">
        <f t="shared" si="106"/>
        <v>172064</v>
      </c>
      <c r="AF61" s="73">
        <f t="shared" si="106"/>
        <v>190739</v>
      </c>
      <c r="AK61" s="73">
        <f>AA61</f>
        <v>198009</v>
      </c>
      <c r="AL61" s="73">
        <f>AB61</f>
        <v>183760</v>
      </c>
      <c r="AM61" s="73">
        <f>AM14+AM16+AJ28</f>
        <v>27360</v>
      </c>
      <c r="AN61" s="73">
        <f>AN14+AN16+AN28</f>
        <v>29898</v>
      </c>
      <c r="AO61" s="73">
        <f>AO14+AO16+AO28</f>
        <v>28474</v>
      </c>
      <c r="AP61" s="73">
        <f>AP14+AP16+AP28</f>
        <v>31305.800000000003</v>
      </c>
      <c r="AR61" s="73">
        <f>Y60+AQ60+Z60</f>
        <v>0</v>
      </c>
      <c r="AS61" s="73" t="s">
        <v>400</v>
      </c>
      <c r="BC61" s="73" t="s">
        <v>326</v>
      </c>
      <c r="BF61" s="73">
        <f t="shared" ref="BF61:BK61" si="107">BF10+BF12+BF14+BF25+BF27+BF29</f>
        <v>29702.400000000001</v>
      </c>
      <c r="BG61" s="73">
        <f t="shared" si="107"/>
        <v>26572</v>
      </c>
      <c r="BH61" s="73">
        <f t="shared" si="107"/>
        <v>102884.6</v>
      </c>
      <c r="BI61" s="73">
        <f t="shared" si="107"/>
        <v>116061.4</v>
      </c>
      <c r="BJ61" s="73">
        <f t="shared" si="107"/>
        <v>129292.80000000002</v>
      </c>
      <c r="BK61" s="73">
        <f t="shared" si="107"/>
        <v>142578.80000000002</v>
      </c>
    </row>
    <row r="62" spans="1:66" x14ac:dyDescent="0.2">
      <c r="A62" s="86" t="s">
        <v>327</v>
      </c>
      <c r="B62" s="86">
        <v>0</v>
      </c>
      <c r="C62" s="86">
        <v>0</v>
      </c>
      <c r="D62" s="86">
        <v>0</v>
      </c>
      <c r="E62" s="86">
        <v>0.25</v>
      </c>
      <c r="F62" s="86">
        <f>IF($F$56=1,B62,IF($F$56=2,C62,IF($F$56=3,D62,IF($F$56=4,E62,0))))</f>
        <v>0</v>
      </c>
      <c r="G62" s="87" t="s">
        <v>392</v>
      </c>
      <c r="H62" s="87">
        <f>IF(H57=0,0,IF(H58/H57&gt;1,1,ROUND(H58/H57,2)))</f>
        <v>1</v>
      </c>
      <c r="L62" s="73" t="s">
        <v>324</v>
      </c>
      <c r="M62" s="73">
        <f>$J$49*(M61)*$J$52</f>
        <v>2375.9500000000003</v>
      </c>
      <c r="N62" s="73">
        <f t="shared" ref="N62:X62" si="108">$J$49*(N61)*$J$52</f>
        <v>3557.75</v>
      </c>
      <c r="O62" s="73">
        <f t="shared" si="108"/>
        <v>4250.3</v>
      </c>
      <c r="P62" s="73">
        <f t="shared" si="108"/>
        <v>5326.6500000000005</v>
      </c>
      <c r="Q62" s="73">
        <f t="shared" si="108"/>
        <v>5738.9500000000007</v>
      </c>
      <c r="R62" s="73">
        <f t="shared" si="108"/>
        <v>6906.5</v>
      </c>
      <c r="S62" s="73">
        <f t="shared" si="108"/>
        <v>6890.75</v>
      </c>
      <c r="T62" s="73">
        <f t="shared" si="108"/>
        <v>7253.35</v>
      </c>
      <c r="U62" s="73">
        <f t="shared" si="108"/>
        <v>8303</v>
      </c>
      <c r="V62" s="73">
        <f t="shared" si="108"/>
        <v>7786.4500000000007</v>
      </c>
      <c r="W62" s="73">
        <f t="shared" si="108"/>
        <v>7979.4500000000007</v>
      </c>
      <c r="X62" s="73">
        <f t="shared" si="108"/>
        <v>9763.0500000000011</v>
      </c>
      <c r="AA62" s="73">
        <f>$J$49*(AA61)*$J$52</f>
        <v>9900.4500000000007</v>
      </c>
      <c r="AB62" s="73">
        <f t="shared" ref="AB62:AL62" si="109">$J$49*(AB61)*$J$52</f>
        <v>9188</v>
      </c>
      <c r="AC62" s="73">
        <f t="shared" si="109"/>
        <v>8445.3000000000011</v>
      </c>
      <c r="AD62" s="73">
        <f t="shared" si="109"/>
        <v>8954.1</v>
      </c>
      <c r="AE62" s="73">
        <f t="shared" si="109"/>
        <v>8603.2000000000007</v>
      </c>
      <c r="AF62" s="73">
        <f t="shared" si="109"/>
        <v>9536.9500000000007</v>
      </c>
      <c r="AK62" s="73">
        <f t="shared" si="109"/>
        <v>9900.4500000000007</v>
      </c>
      <c r="AL62" s="73">
        <f t="shared" si="109"/>
        <v>9188</v>
      </c>
      <c r="AM62" s="73">
        <f>$D$73*(AM61)*$F$62</f>
        <v>0</v>
      </c>
      <c r="AN62" s="73">
        <f>$D$73*(AN61)*$F$62</f>
        <v>0</v>
      </c>
      <c r="AO62" s="73">
        <f>$D$73*(AO61)*$F$62</f>
        <v>0</v>
      </c>
      <c r="AP62" s="73">
        <f>$D$73*(AP61)*$F$62</f>
        <v>0</v>
      </c>
      <c r="BC62" s="73" t="s">
        <v>491</v>
      </c>
      <c r="BF62" s="73">
        <f t="shared" ref="BF62:BK62" si="110">$D$73*(BF61)*$F$62</f>
        <v>0</v>
      </c>
      <c r="BG62" s="73">
        <f t="shared" si="110"/>
        <v>0</v>
      </c>
      <c r="BH62" s="73">
        <f t="shared" si="110"/>
        <v>0</v>
      </c>
      <c r="BI62" s="73">
        <f t="shared" si="110"/>
        <v>0</v>
      </c>
      <c r="BJ62" s="73">
        <f t="shared" si="110"/>
        <v>0</v>
      </c>
      <c r="BK62" s="73">
        <f t="shared" si="110"/>
        <v>0</v>
      </c>
    </row>
    <row r="63" spans="1:66" x14ac:dyDescent="0.2">
      <c r="A63" s="86" t="s">
        <v>313</v>
      </c>
      <c r="B63" s="86"/>
      <c r="C63" s="86" t="s">
        <v>380</v>
      </c>
      <c r="D63" s="86" t="s">
        <v>381</v>
      </c>
      <c r="E63" s="86" t="s">
        <v>382</v>
      </c>
      <c r="F63" s="86" t="str">
        <f>IF($F$56=1,"",IF($F$56=2,C63,IF($F$56=3,D63,IF($F$56=4,E63,0))))</f>
        <v>COVID Delivery Driver Expenses</v>
      </c>
      <c r="G63" s="87" t="s">
        <v>393</v>
      </c>
      <c r="H63" s="87">
        <f>H58*H59</f>
        <v>28800</v>
      </c>
    </row>
    <row r="64" spans="1:66" x14ac:dyDescent="0.2">
      <c r="A64" s="86" t="s">
        <v>358</v>
      </c>
      <c r="B64" s="86">
        <f>(100-B65)/100*AB23</f>
        <v>320</v>
      </c>
      <c r="C64" s="86">
        <f>(100-C65)/100*AC23</f>
        <v>1920</v>
      </c>
      <c r="D64" s="86">
        <f>(100-D65)/100*AD23</f>
        <v>1920</v>
      </c>
      <c r="E64" s="86">
        <f>(100-E65)/100*AE23</f>
        <v>1920</v>
      </c>
      <c r="F64" s="86">
        <f>IF($F$56=1,B64,IF($F$56=2,C64,IF($F$56=3,D64,IF($F$56=4,E64,0))))</f>
        <v>1920</v>
      </c>
      <c r="G64" s="87" t="s">
        <v>394</v>
      </c>
      <c r="H64" s="87">
        <f>IF(AB15-H58&gt;0,AB15-H58,0)</f>
        <v>0</v>
      </c>
      <c r="L64" s="73" t="s">
        <v>328</v>
      </c>
      <c r="M64" s="73">
        <f>IF($J$46=1,"",IF($J$46=2,M59,IF($J$46=3,M53,IF($J$46=4,M62,0))))</f>
        <v>2375.9500000000003</v>
      </c>
      <c r="N64" s="73">
        <f t="shared" ref="N64:W64" si="111">IF($J$46=1,"",IF($J$46=2,N59,IF($J$46=3,N53,IF($J$46=4,N62,0))))</f>
        <v>3557.75</v>
      </c>
      <c r="O64" s="73">
        <f t="shared" si="111"/>
        <v>4250.3</v>
      </c>
      <c r="P64" s="73">
        <f t="shared" si="111"/>
        <v>5326.6500000000005</v>
      </c>
      <c r="Q64" s="73">
        <f t="shared" si="111"/>
        <v>5738.9500000000007</v>
      </c>
      <c r="R64" s="73">
        <f t="shared" si="111"/>
        <v>6906.5</v>
      </c>
      <c r="S64" s="73">
        <f t="shared" si="111"/>
        <v>6890.75</v>
      </c>
      <c r="T64" s="73">
        <f t="shared" si="111"/>
        <v>7253.35</v>
      </c>
      <c r="U64" s="73">
        <f t="shared" si="111"/>
        <v>8303</v>
      </c>
      <c r="V64" s="73">
        <f t="shared" si="111"/>
        <v>7786.4500000000007</v>
      </c>
      <c r="W64" s="73">
        <f t="shared" si="111"/>
        <v>7979.4500000000007</v>
      </c>
      <c r="X64" s="73">
        <f>IF($J$46=1,"",IF($J$46=2,X59,IF($J$46=3,X53,IF($J$46=4,X62,0))))</f>
        <v>9763.0500000000011</v>
      </c>
      <c r="AA64" s="73">
        <f t="shared" ref="AA64:AL64" si="112">IF($J$46=1,"",IF($J$46=2,AA59,IF($J$46=3,AA53,IF($J$46=4,AA62,0))))</f>
        <v>9900.4500000000007</v>
      </c>
      <c r="AB64" s="73">
        <f t="shared" si="112"/>
        <v>9188</v>
      </c>
      <c r="AC64" s="73">
        <f t="shared" si="112"/>
        <v>8445.3000000000011</v>
      </c>
      <c r="AD64" s="73">
        <f t="shared" si="112"/>
        <v>8954.1</v>
      </c>
      <c r="AE64" s="73">
        <f t="shared" si="112"/>
        <v>8603.2000000000007</v>
      </c>
      <c r="AF64" s="73">
        <f t="shared" si="112"/>
        <v>9536.9500000000007</v>
      </c>
      <c r="AK64" s="73">
        <f>IF($J$46=1,"",IF($J$46=2,AK59,IF($J$46=3,AK53,IF($J$46=4,AK62,0))))</f>
        <v>9900.4500000000007</v>
      </c>
      <c r="AL64" s="73">
        <f t="shared" si="112"/>
        <v>9188</v>
      </c>
      <c r="AM64" s="73">
        <f>IF($F$56=1,"",IF($F$56=2,AM59,IF($F$56=3,AM53,IF($F$56=4,AM62,0))))</f>
        <v>3342</v>
      </c>
      <c r="AN64" s="73">
        <f>IF($F$56=1,"",IF($F$56=2,AN59,IF($F$56=3,AN53,IF($F$56=4,AN62,0))))</f>
        <v>3510</v>
      </c>
      <c r="AO64" s="73">
        <f>IF($F$56=1,"",IF($F$56=2,AO59,IF($F$56=3,AO53,IF($F$56=4,AO62,0))))</f>
        <v>3342</v>
      </c>
      <c r="AP64" s="73">
        <f>IF($F$56=1,"",IF($F$56=2,AP59,IF($F$56=3,AP53,IF($F$56=4,AP62,0))))</f>
        <v>3675</v>
      </c>
      <c r="BC64" s="73" t="s">
        <v>489</v>
      </c>
      <c r="BF64" s="73">
        <f t="shared" ref="BF64:BK64" si="113">IF($F$56=1,"",IF($F$56=2,BF59,IF($F$56=3,BF53,IF($F$56=4,BF62,0))))</f>
        <v>3030</v>
      </c>
      <c r="BG64" s="73">
        <f t="shared" si="113"/>
        <v>2712</v>
      </c>
      <c r="BH64" s="73">
        <f t="shared" si="113"/>
        <v>2385</v>
      </c>
      <c r="BI64" s="73">
        <f t="shared" si="113"/>
        <v>2055</v>
      </c>
      <c r="BJ64" s="73">
        <f t="shared" si="113"/>
        <v>1722</v>
      </c>
      <c r="BK64" s="73">
        <f t="shared" si="113"/>
        <v>1383</v>
      </c>
      <c r="BM64" s="73">
        <f>SUM(BF64:BK64)</f>
        <v>13287</v>
      </c>
      <c r="BN64" s="73" t="s">
        <v>494</v>
      </c>
    </row>
    <row r="65" spans="1:63" x14ac:dyDescent="0.2">
      <c r="A65" s="86" t="s">
        <v>368</v>
      </c>
      <c r="B65" s="86">
        <v>90</v>
      </c>
      <c r="C65" s="86">
        <v>40</v>
      </c>
      <c r="D65" s="86">
        <v>40</v>
      </c>
      <c r="E65" s="86">
        <v>40</v>
      </c>
      <c r="F65" s="86">
        <f>IF($F$56=1,B65,IF($F$56=2,C65,IF($F$56=3,D65,IF($F$56=4,E65,0))))</f>
        <v>40</v>
      </c>
      <c r="G65" s="87" t="s">
        <v>485</v>
      </c>
      <c r="H65" s="87">
        <f>H61/2</f>
        <v>6000</v>
      </c>
    </row>
    <row r="66" spans="1:63" x14ac:dyDescent="0.2">
      <c r="A66" s="72" t="s">
        <v>359</v>
      </c>
      <c r="B66" s="72" t="s">
        <v>360</v>
      </c>
      <c r="C66" s="72" t="s">
        <v>361</v>
      </c>
      <c r="D66" s="72" t="s">
        <v>363</v>
      </c>
      <c r="E66" s="72">
        <f>IF(D2=2,2,F66)</f>
        <v>1</v>
      </c>
      <c r="F66" s="72">
        <v>1</v>
      </c>
      <c r="G66" s="142" t="s">
        <v>447</v>
      </c>
      <c r="H66" s="142">
        <f>IF('(HIDE) Data Validation'!B25=0,5,0)</f>
        <v>5</v>
      </c>
      <c r="L66" s="73" t="s">
        <v>334</v>
      </c>
      <c r="M66" s="73">
        <f>ROUND(M61*0.004,0)</f>
        <v>190</v>
      </c>
      <c r="N66" s="73">
        <f t="shared" ref="N66:X66" si="114">ROUND(N61*0.004,0)</f>
        <v>285</v>
      </c>
      <c r="O66" s="73">
        <f t="shared" si="114"/>
        <v>340</v>
      </c>
      <c r="P66" s="73">
        <f t="shared" si="114"/>
        <v>426</v>
      </c>
      <c r="Q66" s="73">
        <f t="shared" si="114"/>
        <v>459</v>
      </c>
      <c r="R66" s="73">
        <f t="shared" si="114"/>
        <v>553</v>
      </c>
      <c r="S66" s="73">
        <f>ROUND(S61*0.004,0)</f>
        <v>551</v>
      </c>
      <c r="T66" s="73">
        <f t="shared" si="114"/>
        <v>580</v>
      </c>
      <c r="U66" s="73">
        <f t="shared" si="114"/>
        <v>664</v>
      </c>
      <c r="V66" s="73">
        <f t="shared" si="114"/>
        <v>623</v>
      </c>
      <c r="W66" s="73">
        <f t="shared" si="114"/>
        <v>638</v>
      </c>
      <c r="X66" s="73">
        <f t="shared" si="114"/>
        <v>781</v>
      </c>
      <c r="AA66" s="73">
        <f>ROUND(AA61*0.004,0)</f>
        <v>792</v>
      </c>
      <c r="AB66" s="73">
        <f t="shared" ref="AB66:AL66" si="115">ROUND(AB61*0.004,0)</f>
        <v>735</v>
      </c>
      <c r="AC66" s="73">
        <f t="shared" si="115"/>
        <v>676</v>
      </c>
      <c r="AD66" s="73">
        <f t="shared" si="115"/>
        <v>716</v>
      </c>
      <c r="AE66" s="73">
        <f t="shared" si="115"/>
        <v>688</v>
      </c>
      <c r="AF66" s="73">
        <f>ROUND(AF61*0.004,0)</f>
        <v>763</v>
      </c>
      <c r="AK66" s="73">
        <f t="shared" si="115"/>
        <v>792</v>
      </c>
      <c r="AL66" s="73">
        <f t="shared" si="115"/>
        <v>735</v>
      </c>
      <c r="AM66" s="73">
        <f>ROUND(AM61*0.004,0)</f>
        <v>109</v>
      </c>
      <c r="AN66" s="73">
        <f>ROUND(AN61*0.004,0)</f>
        <v>120</v>
      </c>
      <c r="AO66" s="73">
        <f>ROUND(AO61*0.004,0)</f>
        <v>114</v>
      </c>
      <c r="AP66" s="73">
        <f>ROUND(AP61*0.004,0)</f>
        <v>125</v>
      </c>
      <c r="BC66" s="73" t="s">
        <v>334</v>
      </c>
      <c r="BF66" s="73">
        <f t="shared" ref="BF66:BK66" si="116">ROUND(BF61*0.004,0)</f>
        <v>119</v>
      </c>
      <c r="BG66" s="73">
        <f t="shared" si="116"/>
        <v>106</v>
      </c>
      <c r="BH66" s="73">
        <f t="shared" si="116"/>
        <v>412</v>
      </c>
      <c r="BI66" s="73">
        <f t="shared" si="116"/>
        <v>464</v>
      </c>
      <c r="BJ66" s="73">
        <f t="shared" si="116"/>
        <v>517</v>
      </c>
      <c r="BK66" s="73">
        <f t="shared" si="116"/>
        <v>570</v>
      </c>
    </row>
    <row r="67" spans="1:63" x14ac:dyDescent="0.2">
      <c r="A67" s="72" t="s">
        <v>367</v>
      </c>
      <c r="B67" s="72">
        <v>0.05</v>
      </c>
      <c r="C67" s="72">
        <v>0</v>
      </c>
      <c r="D67" s="72">
        <f>IF($E$66=1,B67,C67)</f>
        <v>0.05</v>
      </c>
      <c r="E67" s="72" t="s">
        <v>497</v>
      </c>
      <c r="F67" s="72">
        <f>IF($F$66=1,B67,C67)</f>
        <v>0.05</v>
      </c>
      <c r="G67" s="142" t="s">
        <v>448</v>
      </c>
      <c r="H67" s="142" t="e">
        <f>('2019 Ratio Analysis'!H21+#REF!)/2</f>
        <v>#REF!</v>
      </c>
    </row>
    <row r="68" spans="1:63" x14ac:dyDescent="0.2">
      <c r="A68" s="72" t="s">
        <v>145</v>
      </c>
      <c r="B68" s="72">
        <f>AB23</f>
        <v>3200</v>
      </c>
      <c r="C68" s="72">
        <f>F64</f>
        <v>1920</v>
      </c>
      <c r="D68" s="72">
        <f>IF($E$66=1,B68,C68)</f>
        <v>3200</v>
      </c>
      <c r="E68" s="72"/>
      <c r="F68" s="72"/>
      <c r="G68" s="142" t="s">
        <v>446</v>
      </c>
      <c r="H68" s="73" t="e">
        <f>(H66+H67)*10</f>
        <v>#REF!</v>
      </c>
      <c r="I68" s="73" t="e">
        <f>(H66+H67)*10</f>
        <v>#REF!</v>
      </c>
    </row>
    <row r="69" spans="1:63" x14ac:dyDescent="0.2">
      <c r="A69" s="72" t="s">
        <v>357</v>
      </c>
      <c r="B69" s="72">
        <f>I2</f>
        <v>5000</v>
      </c>
      <c r="C69" s="72">
        <f>F60</f>
        <v>5000</v>
      </c>
      <c r="D69" s="72">
        <f>IF($E$66=1,B69,C69)</f>
        <v>5000</v>
      </c>
      <c r="E69" s="72"/>
      <c r="F69" s="72"/>
      <c r="G69" s="142" t="s">
        <v>498</v>
      </c>
      <c r="H69" s="142" t="e">
        <f>IF(H68&lt;100,0,LEFT(H68,1))</f>
        <v>#REF!</v>
      </c>
      <c r="I69" s="73" t="e">
        <f>H69*100000000000</f>
        <v>#REF!</v>
      </c>
    </row>
    <row r="70" spans="1:63" x14ac:dyDescent="0.2">
      <c r="A70" s="72"/>
      <c r="B70" s="72"/>
      <c r="C70" s="72"/>
      <c r="D70" s="72"/>
      <c r="E70" s="72"/>
      <c r="F70" s="72"/>
      <c r="G70" s="73" t="s">
        <v>499</v>
      </c>
      <c r="H70" s="73" t="e">
        <f>RIGHT(H68,2)</f>
        <v>#REF!</v>
      </c>
      <c r="I70" s="73" t="e">
        <f>ROUND(H70,1)</f>
        <v>#REF!</v>
      </c>
    </row>
    <row r="71" spans="1:63" x14ac:dyDescent="0.2">
      <c r="A71" s="81" t="s">
        <v>362</v>
      </c>
      <c r="B71" s="81" t="s">
        <v>361</v>
      </c>
      <c r="C71" s="81" t="s">
        <v>360</v>
      </c>
      <c r="D71" s="81"/>
      <c r="E71" s="81"/>
      <c r="F71" s="81">
        <v>2</v>
      </c>
      <c r="G71" s="73" t="s">
        <v>500</v>
      </c>
      <c r="H71" s="158" t="e">
        <f>RIGHT(#REF!,1)</f>
        <v>#REF!</v>
      </c>
      <c r="I71" s="73" t="e">
        <f>H71*100</f>
        <v>#REF!</v>
      </c>
    </row>
    <row r="72" spans="1:63" x14ac:dyDescent="0.2">
      <c r="A72" s="81" t="s">
        <v>364</v>
      </c>
      <c r="B72" s="81">
        <v>1</v>
      </c>
      <c r="C72" s="81">
        <v>0.8</v>
      </c>
      <c r="D72" s="81">
        <f>IF($F$71=1,B72,C72)</f>
        <v>0.8</v>
      </c>
      <c r="E72" s="81" t="s">
        <v>420</v>
      </c>
      <c r="F72" s="81">
        <v>0.03</v>
      </c>
      <c r="G72" s="73" t="s">
        <v>501</v>
      </c>
      <c r="H72" s="73">
        <f>A2</f>
        <v>3</v>
      </c>
      <c r="I72" s="73">
        <f>H72*100000000</f>
        <v>300000000</v>
      </c>
    </row>
    <row r="73" spans="1:63" x14ac:dyDescent="0.2">
      <c r="A73" s="81" t="s">
        <v>366</v>
      </c>
      <c r="B73" s="81">
        <f>F59</f>
        <v>0.1</v>
      </c>
      <c r="C73" s="81">
        <f>IF(F59=0,0,F59+F72)</f>
        <v>0.13</v>
      </c>
      <c r="D73" s="81">
        <f>IF($F$71=1,B73,C73)</f>
        <v>0.13</v>
      </c>
      <c r="E73" s="81"/>
      <c r="F73" s="81"/>
      <c r="G73" s="73" t="s">
        <v>433</v>
      </c>
      <c r="H73" s="73">
        <f>B50</f>
        <v>1</v>
      </c>
      <c r="I73" s="73">
        <f>H73*1000</f>
        <v>1000</v>
      </c>
    </row>
    <row r="74" spans="1:63" x14ac:dyDescent="0.2">
      <c r="A74" s="81" t="s">
        <v>365</v>
      </c>
      <c r="B74" s="81">
        <f>D67</f>
        <v>0.05</v>
      </c>
      <c r="C74" s="81">
        <f>IF(D67=0,0,B67+F72)</f>
        <v>0.08</v>
      </c>
      <c r="D74" s="81">
        <f>IF($F$71=1,B74,C74)</f>
        <v>0.08</v>
      </c>
      <c r="E74" s="81" t="s">
        <v>497</v>
      </c>
      <c r="F74" s="81">
        <f>IF($F$71=1,F67,IF(F67=0,0,B67+F72))</f>
        <v>0.08</v>
      </c>
      <c r="G74" s="73" t="s">
        <v>502</v>
      </c>
      <c r="H74" s="73" t="str">
        <f>LEFT(F2,1)</f>
        <v>6</v>
      </c>
      <c r="I74" s="73">
        <f>H74*10000000000</f>
        <v>60000000000</v>
      </c>
    </row>
    <row r="75" spans="1:63" x14ac:dyDescent="0.2">
      <c r="A75" s="81" t="s">
        <v>374</v>
      </c>
      <c r="B75" s="81">
        <f>D44</f>
        <v>0.4929503017546496</v>
      </c>
      <c r="C75" s="81">
        <v>1</v>
      </c>
      <c r="D75" s="81">
        <f>IF($F$71=1,B75,C75)</f>
        <v>1</v>
      </c>
      <c r="E75" s="81">
        <f>ROUND(D75*100,2)</f>
        <v>100</v>
      </c>
      <c r="F75" s="81"/>
      <c r="G75" s="73" t="s">
        <v>503</v>
      </c>
      <c r="H75" s="73">
        <f ca="1">INT(RAND()*10)</f>
        <v>4</v>
      </c>
      <c r="I75" s="73">
        <f ca="1">H75*1000000</f>
        <v>4000000</v>
      </c>
    </row>
    <row r="76" spans="1:63" x14ac:dyDescent="0.2">
      <c r="A76" s="81" t="s">
        <v>375</v>
      </c>
      <c r="B76" s="81">
        <f>D42</f>
        <v>4</v>
      </c>
      <c r="C76" s="81">
        <v>3</v>
      </c>
      <c r="D76" s="81">
        <f>IF($F$71=1,B76,C76)</f>
        <v>3</v>
      </c>
      <c r="E76" s="81"/>
      <c r="F76" s="81"/>
      <c r="G76" s="73" t="s">
        <v>504</v>
      </c>
      <c r="H76" s="73" t="str">
        <f>LEFT(2+SUM('2019 Ratio Analysis'!E4:E20),1)</f>
        <v>4</v>
      </c>
      <c r="I76" s="73">
        <f>H76*100000</f>
        <v>400000</v>
      </c>
    </row>
    <row r="77" spans="1:63" x14ac:dyDescent="0.2">
      <c r="G77" s="73" t="s">
        <v>505</v>
      </c>
      <c r="H77" s="73" t="e">
        <f>RIGHT(SUM(#REF!),1)</f>
        <v>#REF!</v>
      </c>
      <c r="I77" s="73" t="e">
        <f>H77*10000000</f>
        <v>#REF!</v>
      </c>
    </row>
    <row r="78" spans="1:63" x14ac:dyDescent="0.2">
      <c r="A78" s="143" t="s">
        <v>423</v>
      </c>
      <c r="B78" s="143"/>
      <c r="C78" s="143"/>
      <c r="D78" s="143"/>
      <c r="E78" s="143"/>
      <c r="G78" s="73" t="s">
        <v>506</v>
      </c>
      <c r="H78" s="73">
        <f ca="1">INT(RAND()*10)</f>
        <v>9</v>
      </c>
      <c r="I78" s="73">
        <f ca="1">H78*10000</f>
        <v>90000</v>
      </c>
    </row>
    <row r="79" spans="1:63" x14ac:dyDescent="0.2">
      <c r="A79" s="143">
        <v>2019</v>
      </c>
      <c r="B79" s="143"/>
      <c r="C79" s="143"/>
      <c r="D79" s="143"/>
      <c r="E79" s="143"/>
      <c r="G79" s="73" t="s">
        <v>507</v>
      </c>
      <c r="H79" s="73">
        <f ca="1">INT(RAND()*10)</f>
        <v>6</v>
      </c>
      <c r="I79" s="73">
        <f ca="1">H79*1000000000</f>
        <v>6000000000</v>
      </c>
    </row>
    <row r="80" spans="1:63" x14ac:dyDescent="0.2">
      <c r="A80" s="143" t="s">
        <v>424</v>
      </c>
      <c r="B80" s="143"/>
      <c r="C80" s="143"/>
      <c r="D80" s="143" t="s">
        <v>427</v>
      </c>
      <c r="E80" s="143"/>
      <c r="I80" s="158" t="e">
        <f>SUM(I69:I79)</f>
        <v>#REF!</v>
      </c>
    </row>
    <row r="81" spans="1:8" x14ac:dyDescent="0.2">
      <c r="A81" s="143" t="s">
        <v>88</v>
      </c>
      <c r="B81" s="144">
        <f>E3</f>
        <v>19</v>
      </c>
      <c r="C81" s="143"/>
      <c r="D81" s="143" t="s">
        <v>428</v>
      </c>
      <c r="E81" s="145">
        <f>C20</f>
        <v>0</v>
      </c>
    </row>
    <row r="82" spans="1:8" x14ac:dyDescent="0.2">
      <c r="A82" s="143" t="s">
        <v>425</v>
      </c>
      <c r="B82" s="144">
        <f>F3</f>
        <v>6.9</v>
      </c>
      <c r="C82" s="143"/>
      <c r="D82" s="143" t="s">
        <v>165</v>
      </c>
      <c r="E82" s="145">
        <f>C19</f>
        <v>142000</v>
      </c>
    </row>
    <row r="83" spans="1:8" x14ac:dyDescent="0.2">
      <c r="A83" s="143" t="s">
        <v>426</v>
      </c>
      <c r="B83" s="144">
        <f>B81-B82</f>
        <v>12.1</v>
      </c>
      <c r="C83" s="143"/>
      <c r="D83" s="143" t="s">
        <v>429</v>
      </c>
      <c r="E83" s="145">
        <f>C18</f>
        <v>150000</v>
      </c>
    </row>
    <row r="84" spans="1:8" x14ac:dyDescent="0.2">
      <c r="A84" s="143"/>
      <c r="B84" s="143"/>
      <c r="C84" s="143"/>
      <c r="D84" s="143" t="s">
        <v>430</v>
      </c>
      <c r="E84" s="145">
        <f>B25</f>
        <v>0</v>
      </c>
    </row>
    <row r="86" spans="1:8" x14ac:dyDescent="0.2">
      <c r="A86" s="155" t="s">
        <v>465</v>
      </c>
      <c r="B86" s="155"/>
      <c r="C86" s="155"/>
      <c r="D86" s="155"/>
      <c r="E86" s="155"/>
      <c r="F86" s="155" t="s">
        <v>470</v>
      </c>
      <c r="G86" s="155">
        <v>3</v>
      </c>
    </row>
    <row r="87" spans="1:8" x14ac:dyDescent="0.2">
      <c r="A87" s="155"/>
      <c r="B87" s="155" t="s">
        <v>91</v>
      </c>
      <c r="C87" s="155" t="s">
        <v>92</v>
      </c>
      <c r="D87" s="155" t="s">
        <v>93</v>
      </c>
      <c r="E87" s="155" t="s">
        <v>126</v>
      </c>
      <c r="F87" s="155"/>
      <c r="G87" s="155"/>
    </row>
    <row r="88" spans="1:8" x14ac:dyDescent="0.2">
      <c r="A88" s="155" t="s">
        <v>456</v>
      </c>
      <c r="B88" s="155">
        <v>0.1</v>
      </c>
      <c r="C88" s="155">
        <v>0.2</v>
      </c>
      <c r="D88" s="155">
        <v>0.3</v>
      </c>
      <c r="E88" s="155">
        <f>IF($D$2=1,B88,IF($D$2=2,C88,D88))</f>
        <v>0.3</v>
      </c>
    </row>
    <row r="89" spans="1:8" x14ac:dyDescent="0.2">
      <c r="A89" s="155" t="s">
        <v>457</v>
      </c>
      <c r="B89" s="155">
        <v>0.08</v>
      </c>
      <c r="C89" s="155">
        <v>0.04</v>
      </c>
      <c r="D89" s="155">
        <v>0.1</v>
      </c>
      <c r="E89" s="155">
        <f>IF($D$2=1,B89,IF($D$2=2,C89,D89))</f>
        <v>0.1</v>
      </c>
    </row>
    <row r="90" spans="1:8" x14ac:dyDescent="0.2">
      <c r="A90" s="155" t="s">
        <v>458</v>
      </c>
      <c r="B90" s="155">
        <f>B88+B89*5</f>
        <v>0.5</v>
      </c>
      <c r="C90" s="155">
        <f>C88+C89*5</f>
        <v>0.4</v>
      </c>
      <c r="D90" s="155">
        <f>D88+D89*5</f>
        <v>0.8</v>
      </c>
      <c r="E90" s="155">
        <f>IF($D$2=1,B90,IF($D$2=2,C90,D90))</f>
        <v>0.8</v>
      </c>
    </row>
    <row r="91" spans="1:8" x14ac:dyDescent="0.2">
      <c r="A91" s="155" t="s">
        <v>459</v>
      </c>
      <c r="B91" s="155" t="s">
        <v>460</v>
      </c>
      <c r="C91" s="155" t="s">
        <v>462</v>
      </c>
      <c r="D91" s="155" t="s">
        <v>461</v>
      </c>
      <c r="E91" s="155" t="str">
        <f>IF($D$2=1,B91,IF($D$2=2,C91,D91))</f>
        <v>a suburban retail area</v>
      </c>
    </row>
    <row r="92" spans="1:8" x14ac:dyDescent="0.2">
      <c r="A92" s="155"/>
      <c r="B92" s="155"/>
      <c r="C92" s="155"/>
      <c r="D92" s="155"/>
      <c r="E92" s="155"/>
      <c r="F92" s="155"/>
      <c r="G92" s="155"/>
      <c r="H92" s="155"/>
    </row>
    <row r="93" spans="1:8" x14ac:dyDescent="0.2">
      <c r="A93" s="155" t="s">
        <v>469</v>
      </c>
      <c r="B93" s="155" t="s">
        <v>7</v>
      </c>
      <c r="C93" s="155" t="s">
        <v>121</v>
      </c>
      <c r="D93" s="155" t="s">
        <v>122</v>
      </c>
      <c r="E93" s="155" t="s">
        <v>123</v>
      </c>
      <c r="F93" s="155" t="s">
        <v>124</v>
      </c>
      <c r="G93" s="155" t="s">
        <v>125</v>
      </c>
      <c r="H93" s="155" t="s">
        <v>114</v>
      </c>
    </row>
    <row r="94" spans="1:8" x14ac:dyDescent="0.2">
      <c r="A94" s="155" t="s">
        <v>471</v>
      </c>
      <c r="B94" s="155">
        <f>IF(G86&lt;2,1,0)</f>
        <v>0</v>
      </c>
      <c r="C94" s="155">
        <f>IF(G86&lt;3,1,0)</f>
        <v>0</v>
      </c>
      <c r="D94" s="155">
        <f>IF(G86&lt;4,1,0)</f>
        <v>1</v>
      </c>
      <c r="E94" s="155">
        <f>IF(G86&lt;5,1,0)</f>
        <v>1</v>
      </c>
      <c r="F94" s="155">
        <f>IF(G86&lt;6,1,0)</f>
        <v>1</v>
      </c>
      <c r="G94" s="155">
        <f>IF(G86&lt;7,1,0)</f>
        <v>1</v>
      </c>
      <c r="H94" s="155">
        <f>IF(G86&lt;7,1,0)</f>
        <v>1</v>
      </c>
    </row>
  </sheetData>
  <sheetProtection selectLockedCells="1" selectUnlockedCells="1"/>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B1:N16"/>
  <sheetViews>
    <sheetView zoomScaleNormal="100" workbookViewId="0">
      <selection activeCell="D6" sqref="D6"/>
    </sheetView>
  </sheetViews>
  <sheetFormatPr baseColWidth="10" defaultColWidth="8.83203125" defaultRowHeight="19" x14ac:dyDescent="0.25"/>
  <cols>
    <col min="1" max="1" width="8.83203125" style="42"/>
    <col min="2" max="2" width="14.83203125" style="42" bestFit="1" customWidth="1"/>
    <col min="3" max="3" width="2.83203125" style="42" customWidth="1"/>
    <col min="4" max="4" width="43.5" style="42" customWidth="1"/>
    <col min="5" max="5" width="67.5" style="42" customWidth="1"/>
    <col min="6" max="8" width="8.83203125" style="42"/>
    <col min="9" max="11" width="8.83203125" style="42" customWidth="1"/>
    <col min="12" max="16384" width="8.83203125" style="42"/>
  </cols>
  <sheetData>
    <row r="1" spans="2:14" ht="44.5" customHeight="1" x14ac:dyDescent="0.25">
      <c r="H1" s="68"/>
      <c r="I1" s="68" t="s">
        <v>249</v>
      </c>
      <c r="J1" s="68"/>
      <c r="K1" s="68" t="s">
        <v>255</v>
      </c>
      <c r="L1" s="68"/>
      <c r="M1" s="68" t="s">
        <v>269</v>
      </c>
      <c r="N1" s="68"/>
    </row>
    <row r="2" spans="2:14" x14ac:dyDescent="0.25">
      <c r="B2" s="44" t="s">
        <v>248</v>
      </c>
      <c r="C2" s="41"/>
      <c r="H2" s="68">
        <v>1</v>
      </c>
      <c r="I2" s="68" t="s">
        <v>253</v>
      </c>
      <c r="J2" s="68">
        <v>1</v>
      </c>
      <c r="K2" s="68" t="s">
        <v>256</v>
      </c>
      <c r="L2" s="68"/>
      <c r="M2" s="68" t="s">
        <v>270</v>
      </c>
      <c r="N2" s="68"/>
    </row>
    <row r="3" spans="2:14" x14ac:dyDescent="0.25">
      <c r="H3" s="68">
        <v>2</v>
      </c>
      <c r="I3" s="68" t="s">
        <v>250</v>
      </c>
      <c r="J3" s="68"/>
      <c r="K3" s="68" t="s">
        <v>257</v>
      </c>
      <c r="L3" s="68"/>
      <c r="M3" s="68" t="s">
        <v>271</v>
      </c>
      <c r="N3" s="68"/>
    </row>
    <row r="4" spans="2:14" x14ac:dyDescent="0.25">
      <c r="B4" s="44" t="s">
        <v>255</v>
      </c>
      <c r="C4" s="41"/>
      <c r="H4" s="68">
        <v>3</v>
      </c>
      <c r="I4" s="68" t="s">
        <v>251</v>
      </c>
      <c r="J4" s="68">
        <v>3</v>
      </c>
      <c r="K4" s="68" t="s">
        <v>258</v>
      </c>
      <c r="L4" s="68"/>
      <c r="M4" s="68" t="s">
        <v>272</v>
      </c>
      <c r="N4" s="68"/>
    </row>
    <row r="5" spans="2:14" ht="20" thickBot="1" x14ac:dyDescent="0.3">
      <c r="H5" s="68">
        <v>4</v>
      </c>
      <c r="I5" s="68" t="s">
        <v>252</v>
      </c>
      <c r="J5" s="68">
        <v>4</v>
      </c>
      <c r="K5" s="68" t="s">
        <v>259</v>
      </c>
      <c r="L5" s="68"/>
      <c r="M5" s="68" t="s">
        <v>273</v>
      </c>
      <c r="N5" s="68"/>
    </row>
    <row r="6" spans="2:14" ht="21" thickTop="1" thickBot="1" x14ac:dyDescent="0.3">
      <c r="B6" s="44" t="s">
        <v>261</v>
      </c>
      <c r="C6" s="41"/>
      <c r="D6" s="43" t="s">
        <v>513</v>
      </c>
      <c r="H6" s="68">
        <v>5</v>
      </c>
      <c r="I6" s="68" t="s">
        <v>254</v>
      </c>
      <c r="J6" s="68">
        <v>5</v>
      </c>
      <c r="K6" s="68" t="s">
        <v>262</v>
      </c>
      <c r="L6" s="68"/>
      <c r="M6" s="68"/>
      <c r="N6" s="68"/>
    </row>
    <row r="7" spans="2:14" ht="20" thickTop="1" x14ac:dyDescent="0.25">
      <c r="H7" s="68"/>
      <c r="I7" s="68"/>
      <c r="J7" s="68">
        <v>6</v>
      </c>
      <c r="K7" s="68" t="s">
        <v>260</v>
      </c>
      <c r="L7" s="68"/>
      <c r="M7" s="68"/>
      <c r="N7" s="68"/>
    </row>
    <row r="8" spans="2:14" x14ac:dyDescent="0.25">
      <c r="B8" s="40" t="s">
        <v>263</v>
      </c>
      <c r="H8" s="68"/>
      <c r="I8" s="68"/>
      <c r="J8" s="68"/>
      <c r="K8" s="68"/>
      <c r="L8" s="68"/>
      <c r="M8" s="68"/>
      <c r="N8" s="68"/>
    </row>
    <row r="9" spans="2:14" x14ac:dyDescent="0.25">
      <c r="H9" s="68"/>
      <c r="I9" s="68"/>
      <c r="J9" s="68"/>
      <c r="K9" s="68"/>
      <c r="L9" s="68"/>
      <c r="M9" s="68"/>
      <c r="N9" s="68"/>
    </row>
    <row r="13" spans="2:14" ht="20" thickBot="1" x14ac:dyDescent="0.3">
      <c r="C13" s="40" t="s">
        <v>266</v>
      </c>
    </row>
    <row r="14" spans="2:14" ht="21" thickTop="1" thickBot="1" x14ac:dyDescent="0.3">
      <c r="D14" s="40" t="s">
        <v>267</v>
      </c>
      <c r="E14" s="43" t="s">
        <v>512</v>
      </c>
    </row>
    <row r="15" spans="2:14" ht="20" thickTop="1" x14ac:dyDescent="0.25"/>
    <row r="16" spans="2:14" x14ac:dyDescent="0.25">
      <c r="D16" s="40" t="s">
        <v>268</v>
      </c>
    </row>
  </sheetData>
  <sheetProtection password="DBEB" sheet="1" objects="1" scenarios="1" formatColumns="0" formatRows="0" selectLockedCells="1"/>
  <dataValidations count="2">
    <dataValidation allowBlank="1" showInputMessage="1" showErrorMessage="1" errorTitle="Invalid" error="Please select an option from the list" promptTitle="Select Age" sqref="D2" xr:uid="{00000000-0002-0000-0100-000000000000}"/>
    <dataValidation allowBlank="1" showInputMessage="1" showErrorMessage="1" errorTitle="Invalid" error="Please select an option from the list" promptTitle="Select Country" sqref="D4" xr:uid="{00000000-0002-0000-0100-000001000000}"/>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3" r:id="rId4" name="Drop Down 3">
              <controlPr locked="0" defaultSize="0" autoLine="0" autoPict="0">
                <anchor moveWithCells="1">
                  <from>
                    <xdr:col>3</xdr:col>
                    <xdr:colOff>12700</xdr:colOff>
                    <xdr:row>1</xdr:row>
                    <xdr:rowOff>12700</xdr:rowOff>
                  </from>
                  <to>
                    <xdr:col>3</xdr:col>
                    <xdr:colOff>927100</xdr:colOff>
                    <xdr:row>1</xdr:row>
                    <xdr:rowOff>228600</xdr:rowOff>
                  </to>
                </anchor>
              </controlPr>
            </control>
          </mc:Choice>
        </mc:AlternateContent>
        <mc:AlternateContent xmlns:mc="http://schemas.openxmlformats.org/markup-compatibility/2006">
          <mc:Choice Requires="x14">
            <control shapeId="25606" r:id="rId5" name="Drop Down 6">
              <controlPr locked="0" defaultSize="0" autoLine="0" autoPict="0">
                <anchor moveWithCells="1">
                  <from>
                    <xdr:col>3</xdr:col>
                    <xdr:colOff>12700</xdr:colOff>
                    <xdr:row>3</xdr:row>
                    <xdr:rowOff>12700</xdr:rowOff>
                  </from>
                  <to>
                    <xdr:col>3</xdr:col>
                    <xdr:colOff>1358900</xdr:colOff>
                    <xdr:row>4</xdr:row>
                    <xdr:rowOff>0</xdr:rowOff>
                  </to>
                </anchor>
              </controlPr>
            </control>
          </mc:Choice>
        </mc:AlternateContent>
        <mc:AlternateContent xmlns:mc="http://schemas.openxmlformats.org/markup-compatibility/2006">
          <mc:Choice Requires="x14">
            <control shapeId="25607" r:id="rId6" name="Group Box 7">
              <controlPr locked="0" defaultSize="0" autoFill="0" autoPict="0">
                <anchor moveWithCells="1">
                  <from>
                    <xdr:col>2</xdr:col>
                    <xdr:colOff>114300</xdr:colOff>
                    <xdr:row>8</xdr:row>
                    <xdr:rowOff>50800</xdr:rowOff>
                  </from>
                  <to>
                    <xdr:col>3</xdr:col>
                    <xdr:colOff>1346200</xdr:colOff>
                    <xdr:row>12</xdr:row>
                    <xdr:rowOff>0</xdr:rowOff>
                  </to>
                </anchor>
              </controlPr>
            </control>
          </mc:Choice>
        </mc:AlternateContent>
        <mc:AlternateContent xmlns:mc="http://schemas.openxmlformats.org/markup-compatibility/2006">
          <mc:Choice Requires="x14">
            <control shapeId="25608" r:id="rId7" name="Option Button 8">
              <controlPr locked="0" defaultSize="0" autoFill="0" autoLine="0" autoPict="0">
                <anchor moveWithCells="1">
                  <from>
                    <xdr:col>2</xdr:col>
                    <xdr:colOff>190500</xdr:colOff>
                    <xdr:row>8</xdr:row>
                    <xdr:rowOff>139700</xdr:rowOff>
                  </from>
                  <to>
                    <xdr:col>3</xdr:col>
                    <xdr:colOff>889000</xdr:colOff>
                    <xdr:row>9</xdr:row>
                    <xdr:rowOff>127000</xdr:rowOff>
                  </to>
                </anchor>
              </controlPr>
            </control>
          </mc:Choice>
        </mc:AlternateContent>
        <mc:AlternateContent xmlns:mc="http://schemas.openxmlformats.org/markup-compatibility/2006">
          <mc:Choice Requires="x14">
            <control shapeId="25609" r:id="rId8" name="Option Button 9">
              <controlPr locked="0" defaultSize="0" autoFill="0" autoLine="0" autoPict="0">
                <anchor moveWithCells="1">
                  <from>
                    <xdr:col>2</xdr:col>
                    <xdr:colOff>190500</xdr:colOff>
                    <xdr:row>9</xdr:row>
                    <xdr:rowOff>139700</xdr:rowOff>
                  </from>
                  <to>
                    <xdr:col>3</xdr:col>
                    <xdr:colOff>889000</xdr:colOff>
                    <xdr:row>10</xdr:row>
                    <xdr:rowOff>127000</xdr:rowOff>
                  </to>
                </anchor>
              </controlPr>
            </control>
          </mc:Choice>
        </mc:AlternateContent>
        <mc:AlternateContent xmlns:mc="http://schemas.openxmlformats.org/markup-compatibility/2006">
          <mc:Choice Requires="x14">
            <control shapeId="25610" r:id="rId9" name="Drop Down 10">
              <controlPr locked="0" defaultSize="0" autoLine="0" autoPict="0">
                <anchor moveWithCells="1">
                  <from>
                    <xdr:col>4</xdr:col>
                    <xdr:colOff>12700</xdr:colOff>
                    <xdr:row>15</xdr:row>
                    <xdr:rowOff>12700</xdr:rowOff>
                  </from>
                  <to>
                    <xdr:col>4</xdr:col>
                    <xdr:colOff>1778000</xdr:colOff>
                    <xdr:row>15</xdr:row>
                    <xdr:rowOff>228600</xdr:rowOff>
                  </to>
                </anchor>
              </controlPr>
            </control>
          </mc:Choice>
        </mc:AlternateContent>
        <mc:AlternateContent xmlns:mc="http://schemas.openxmlformats.org/markup-compatibility/2006">
          <mc:Choice Requires="x14">
            <control shapeId="25611" r:id="rId10" name="Option Button 11">
              <controlPr locked="0" defaultSize="0" autoFill="0" autoLine="0" autoPict="0">
                <anchor moveWithCells="1">
                  <from>
                    <xdr:col>2</xdr:col>
                    <xdr:colOff>190500</xdr:colOff>
                    <xdr:row>10</xdr:row>
                    <xdr:rowOff>127000</xdr:rowOff>
                  </from>
                  <to>
                    <xdr:col>3</xdr:col>
                    <xdr:colOff>889000</xdr:colOff>
                    <xdr:row>11</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N37"/>
  <sheetViews>
    <sheetView zoomScaleNormal="100" workbookViewId="0">
      <selection activeCell="F3" sqref="F3:H3"/>
    </sheetView>
  </sheetViews>
  <sheetFormatPr baseColWidth="10" defaultColWidth="8.83203125" defaultRowHeight="15" x14ac:dyDescent="0.2"/>
  <cols>
    <col min="1" max="3" width="8.83203125" style="1"/>
    <col min="4" max="4" width="23.5" style="1" customWidth="1"/>
    <col min="5" max="5" width="8.83203125" style="1"/>
    <col min="6" max="6" width="34.1640625" style="1" customWidth="1"/>
    <col min="7" max="16384" width="8.83203125" style="1"/>
  </cols>
  <sheetData>
    <row r="1" spans="3:14" ht="61.25" customHeight="1" x14ac:dyDescent="0.2"/>
    <row r="2" spans="3:14" ht="16" thickBot="1" x14ac:dyDescent="0.25"/>
    <row r="3" spans="3:14" ht="21" customHeight="1" thickTop="1" thickBot="1" x14ac:dyDescent="0.25">
      <c r="C3" s="171" t="s">
        <v>434</v>
      </c>
      <c r="F3" s="176" t="s">
        <v>516</v>
      </c>
      <c r="G3" s="177"/>
      <c r="H3" s="178"/>
    </row>
    <row r="4" spans="3:14" ht="16" thickTop="1" x14ac:dyDescent="0.2"/>
    <row r="5" spans="3:14" x14ac:dyDescent="0.2">
      <c r="C5" s="5" t="s">
        <v>184</v>
      </c>
    </row>
    <row r="9" spans="3:14" ht="14.75" customHeight="1" x14ac:dyDescent="0.2">
      <c r="C9" s="5" t="s">
        <v>84</v>
      </c>
      <c r="G9" s="179" t="str">
        <f>"Startup Costs $"&amp;'(HIDE) Data Validation'!B8/1000&amp;",000. No existing customer base, but flexibility allows potential faster growth in customers in future months. Base monthly sales of "&amp;'(HIDE) Data Validation'!B9&amp;" "&amp;'(HIDE) Data Validation'!A6</f>
        <v>Startup Costs $120,000. No existing customer base, but flexibility allows potential faster growth in customers in future months. Base monthly sales of 1300 Pizzas</v>
      </c>
      <c r="H9" s="179"/>
      <c r="I9" s="179"/>
      <c r="J9" s="179"/>
      <c r="K9" s="179"/>
      <c r="L9" s="179"/>
      <c r="M9" s="179"/>
      <c r="N9" s="179"/>
    </row>
    <row r="10" spans="3:14" x14ac:dyDescent="0.2">
      <c r="G10" s="179"/>
      <c r="H10" s="179"/>
      <c r="I10" s="179"/>
      <c r="J10" s="179"/>
      <c r="K10" s="179"/>
      <c r="L10" s="179"/>
      <c r="M10" s="179"/>
      <c r="N10" s="179"/>
    </row>
    <row r="11" spans="3:14" x14ac:dyDescent="0.2">
      <c r="G11" s="169"/>
    </row>
    <row r="12" spans="3:14" ht="14.75" customHeight="1" x14ac:dyDescent="0.2">
      <c r="G12" s="179" t="str">
        <f>"Startup Costs $"&amp;'(HIDE) Data Validation'!C8/1000&amp;",000. Comes with an established customer base but you need to pay for this goodwill. Base monthly sales of "&amp;'(HIDE) Data Validation'!C9&amp;" "&amp;'(HIDE) Data Validation'!A6</f>
        <v>Startup Costs $340,000. Comes with an established customer base but you need to pay for this goodwill. Base monthly sales of 4200 Pizzas</v>
      </c>
      <c r="H12" s="179"/>
      <c r="I12" s="179"/>
      <c r="J12" s="179"/>
      <c r="K12" s="179"/>
      <c r="L12" s="179"/>
      <c r="M12" s="179"/>
      <c r="N12" s="179"/>
    </row>
    <row r="13" spans="3:14" x14ac:dyDescent="0.2">
      <c r="G13" s="179"/>
      <c r="H13" s="179"/>
      <c r="I13" s="179"/>
      <c r="J13" s="179"/>
      <c r="K13" s="179"/>
      <c r="L13" s="179"/>
      <c r="M13" s="179"/>
      <c r="N13" s="179"/>
    </row>
    <row r="14" spans="3:14" x14ac:dyDescent="0.2">
      <c r="G14" s="169"/>
    </row>
    <row r="15" spans="3:14" ht="14.75" customHeight="1" x14ac:dyDescent="0.2">
      <c r="G15" s="179" t="str">
        <f>"Startup Costs $"&amp;'(HIDE) Data Validation'!D8/1000&amp;",000 . Widely recognised brand but also requires a monthly fee of $4,500 AND some prices are fixed. Base monthly sales of "&amp;'(HIDE) Data Validation'!D9&amp;" "&amp;'(HIDE) Data Validation'!A6</f>
        <v>Startup Costs $500,000 . Widely recognised brand but also requires a monthly fee of $4,500 AND some prices are fixed. Base monthly sales of 8000 Pizzas</v>
      </c>
      <c r="H15" s="179"/>
      <c r="I15" s="179"/>
      <c r="J15" s="179"/>
      <c r="K15" s="179"/>
      <c r="L15" s="179"/>
      <c r="M15" s="179"/>
      <c r="N15" s="179"/>
    </row>
    <row r="16" spans="3:14" x14ac:dyDescent="0.2">
      <c r="G16" s="179"/>
      <c r="H16" s="179"/>
      <c r="I16" s="179"/>
      <c r="J16" s="179"/>
      <c r="K16" s="179"/>
      <c r="L16" s="179"/>
      <c r="M16" s="179"/>
      <c r="N16" s="179"/>
    </row>
    <row r="20" spans="1:14" ht="14.75" customHeight="1" x14ac:dyDescent="0.2">
      <c r="C20" s="5" t="s">
        <v>87</v>
      </c>
      <c r="G20" s="175" t="str">
        <f>"Rent = $"&amp;'(HIDE) Data Validation'!G11&amp;",000 per month. Good foot traffic. Can result in a moderate boost in sales. Sales generally consistant from week to week. Some local competition."</f>
        <v>Rent = $28,000 per month. Good foot traffic. Can result in a moderate boost in sales. Sales generally consistant from week to week. Some local competition.</v>
      </c>
      <c r="H20" s="175"/>
      <c r="I20" s="175"/>
      <c r="J20" s="175"/>
      <c r="K20" s="175"/>
      <c r="L20" s="175"/>
      <c r="M20" s="175"/>
      <c r="N20" s="175"/>
    </row>
    <row r="21" spans="1:14" x14ac:dyDescent="0.2">
      <c r="G21" s="175"/>
      <c r="H21" s="175"/>
      <c r="I21" s="175"/>
      <c r="J21" s="175"/>
      <c r="K21" s="175"/>
      <c r="L21" s="175"/>
      <c r="M21" s="175"/>
      <c r="N21" s="175"/>
    </row>
    <row r="22" spans="1:14" x14ac:dyDescent="0.2">
      <c r="G22" s="170"/>
    </row>
    <row r="23" spans="1:14" ht="14.75" customHeight="1" x14ac:dyDescent="0.2">
      <c r="G23" s="175" t="str">
        <f>"Rent = $"&amp;'(HIDE) Data Validation'!H11&amp;",000 per month. High foot traffic. Can result in a good boost in sales. Sales can vary by time of the year. Higher nearby competition"</f>
        <v>Rent = $52,000 per month. High foot traffic. Can result in a good boost in sales. Sales can vary by time of the year. Higher nearby competition</v>
      </c>
      <c r="H23" s="175"/>
      <c r="I23" s="175"/>
      <c r="J23" s="175"/>
      <c r="K23" s="175"/>
      <c r="L23" s="175"/>
      <c r="M23" s="175"/>
      <c r="N23" s="175"/>
    </row>
    <row r="24" spans="1:14" x14ac:dyDescent="0.2">
      <c r="G24" s="175"/>
      <c r="H24" s="175"/>
      <c r="I24" s="175"/>
      <c r="J24" s="175"/>
      <c r="K24" s="175"/>
      <c r="L24" s="175"/>
      <c r="M24" s="175"/>
      <c r="N24" s="175"/>
    </row>
    <row r="25" spans="1:14" x14ac:dyDescent="0.2">
      <c r="G25" s="170"/>
    </row>
    <row r="26" spans="1:14" ht="14.75" customHeight="1" x14ac:dyDescent="0.2">
      <c r="G26" s="175" t="str">
        <f>"Rent = $"&amp;'(HIDE) Data Validation'!I11&amp;",000 per month. Customers are predominantly those living in the local area"</f>
        <v>Rent = $7,000 per month. Customers are predominantly those living in the local area</v>
      </c>
      <c r="H26" s="175"/>
      <c r="I26" s="175"/>
      <c r="J26" s="175"/>
      <c r="K26" s="175"/>
      <c r="L26" s="175"/>
      <c r="M26" s="175"/>
      <c r="N26" s="175"/>
    </row>
    <row r="27" spans="1:14" x14ac:dyDescent="0.2">
      <c r="G27" s="175"/>
      <c r="H27" s="175"/>
      <c r="I27" s="175"/>
      <c r="J27" s="175"/>
      <c r="K27" s="175"/>
      <c r="L27" s="175"/>
      <c r="M27" s="175"/>
      <c r="N27" s="175"/>
    </row>
    <row r="29" spans="1:14" ht="16" x14ac:dyDescent="0.2">
      <c r="A29" s="166"/>
    </row>
    <row r="30" spans="1:14" ht="16" x14ac:dyDescent="0.2">
      <c r="A30" s="166"/>
    </row>
    <row r="31" spans="1:14" ht="16" x14ac:dyDescent="0.2">
      <c r="A31" s="166"/>
    </row>
    <row r="32" spans="1:14" ht="16" x14ac:dyDescent="0.2">
      <c r="A32" s="166"/>
    </row>
    <row r="33" spans="1:1" ht="16" x14ac:dyDescent="0.2">
      <c r="A33" s="166"/>
    </row>
    <row r="34" spans="1:1" s="168" customFormat="1" ht="16" x14ac:dyDescent="0.2">
      <c r="A34" s="167"/>
    </row>
    <row r="35" spans="1:1" ht="16" x14ac:dyDescent="0.2">
      <c r="A35" s="166"/>
    </row>
    <row r="36" spans="1:1" ht="16" x14ac:dyDescent="0.2">
      <c r="A36" s="166"/>
    </row>
    <row r="37" spans="1:1" ht="16" x14ac:dyDescent="0.2">
      <c r="A37" s="166"/>
    </row>
  </sheetData>
  <sheetProtection algorithmName="SHA-512" hashValue="UyDsXHrf25IBRUj8l4lI72XdXJ9Az9k52orX1K7x58rCaxL2OKp54EU4lXJY2NlTmfdt/gE6RDs9v5qqlH3npw==" saltValue="gf1G8b0I4WdpPRDdvGjnWA==" spinCount="100000" sheet="1" formatColumns="0" formatRows="0" selectLockedCells="1"/>
  <mergeCells count="7">
    <mergeCell ref="G23:N24"/>
    <mergeCell ref="G26:N27"/>
    <mergeCell ref="F3:H3"/>
    <mergeCell ref="G9:N10"/>
    <mergeCell ref="G12:N13"/>
    <mergeCell ref="G15:N16"/>
    <mergeCell ref="G20:N21"/>
  </mergeCells>
  <dataValidations xWindow="602" yWindow="378" count="1">
    <dataValidation allowBlank="1" showErrorMessage="1" promptTitle="Choose ONE" prompt="Sole Trader - Startup Costs $100,000. No existing customer base_x000a__x000a_Existing business - Startup Costs $150000 . Comes with an established customer base but you need to pay for this goodwill_x000a__x000a_Franchise - Startup Costs $700000. Recognised sto Monthly Fee $4500" sqref="G9" xr:uid="{00000000-0002-0000-0200-000000000000}"/>
  </dataValidations>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198" r:id="rId4" name="Group Box 6">
              <controlPr defaultSize="0" autoFill="0" autoPict="0" altText="First Product">
                <anchor moveWithCells="1">
                  <from>
                    <xdr:col>4</xdr:col>
                    <xdr:colOff>609600</xdr:colOff>
                    <xdr:row>3</xdr:row>
                    <xdr:rowOff>139700</xdr:rowOff>
                  </from>
                  <to>
                    <xdr:col>5</xdr:col>
                    <xdr:colOff>927100</xdr:colOff>
                    <xdr:row>7</xdr:row>
                    <xdr:rowOff>50800</xdr:rowOff>
                  </to>
                </anchor>
              </controlPr>
            </control>
          </mc:Choice>
        </mc:AlternateContent>
        <mc:AlternateContent xmlns:mc="http://schemas.openxmlformats.org/markup-compatibility/2006">
          <mc:Choice Requires="x14">
            <control shapeId="8200" r:id="rId5" name="Option Button 8">
              <controlPr defaultSize="0" autoFill="0" autoLine="0" autoPict="0">
                <anchor moveWithCells="1">
                  <from>
                    <xdr:col>5</xdr:col>
                    <xdr:colOff>12700</xdr:colOff>
                    <xdr:row>3</xdr:row>
                    <xdr:rowOff>165100</xdr:rowOff>
                  </from>
                  <to>
                    <xdr:col>5</xdr:col>
                    <xdr:colOff>901700</xdr:colOff>
                    <xdr:row>5</xdr:row>
                    <xdr:rowOff>12700</xdr:rowOff>
                  </to>
                </anchor>
              </controlPr>
            </control>
          </mc:Choice>
        </mc:AlternateContent>
        <mc:AlternateContent xmlns:mc="http://schemas.openxmlformats.org/markup-compatibility/2006">
          <mc:Choice Requires="x14">
            <control shapeId="8203" r:id="rId6" name="Option Button 11">
              <controlPr defaultSize="0" autoFill="0" autoLine="0" autoPict="0">
                <anchor moveWithCells="1">
                  <from>
                    <xdr:col>5</xdr:col>
                    <xdr:colOff>12700</xdr:colOff>
                    <xdr:row>4</xdr:row>
                    <xdr:rowOff>165100</xdr:rowOff>
                  </from>
                  <to>
                    <xdr:col>5</xdr:col>
                    <xdr:colOff>901700</xdr:colOff>
                    <xdr:row>6</xdr:row>
                    <xdr:rowOff>12700</xdr:rowOff>
                  </to>
                </anchor>
              </controlPr>
            </control>
          </mc:Choice>
        </mc:AlternateContent>
        <mc:AlternateContent xmlns:mc="http://schemas.openxmlformats.org/markup-compatibility/2006">
          <mc:Choice Requires="x14">
            <control shapeId="8204" r:id="rId7" name="Option Button 12">
              <controlPr defaultSize="0" autoFill="0" autoLine="0" autoPict="0">
                <anchor moveWithCells="1">
                  <from>
                    <xdr:col>5</xdr:col>
                    <xdr:colOff>12700</xdr:colOff>
                    <xdr:row>5</xdr:row>
                    <xdr:rowOff>165100</xdr:rowOff>
                  </from>
                  <to>
                    <xdr:col>5</xdr:col>
                    <xdr:colOff>901700</xdr:colOff>
                    <xdr:row>7</xdr:row>
                    <xdr:rowOff>12700</xdr:rowOff>
                  </to>
                </anchor>
              </controlPr>
            </control>
          </mc:Choice>
        </mc:AlternateContent>
        <mc:AlternateContent xmlns:mc="http://schemas.openxmlformats.org/markup-compatibility/2006">
          <mc:Choice Requires="x14">
            <control shapeId="8207" r:id="rId8" name="Group Box 15">
              <controlPr defaultSize="0" autoFill="0" autoPict="0">
                <anchor moveWithCells="1">
                  <from>
                    <xdr:col>4</xdr:col>
                    <xdr:colOff>596900</xdr:colOff>
                    <xdr:row>7</xdr:row>
                    <xdr:rowOff>152400</xdr:rowOff>
                  </from>
                  <to>
                    <xdr:col>14</xdr:col>
                    <xdr:colOff>241300</xdr:colOff>
                    <xdr:row>16</xdr:row>
                    <xdr:rowOff>127000</xdr:rowOff>
                  </to>
                </anchor>
              </controlPr>
            </control>
          </mc:Choice>
        </mc:AlternateContent>
        <mc:AlternateContent xmlns:mc="http://schemas.openxmlformats.org/markup-compatibility/2006">
          <mc:Choice Requires="x14">
            <control shapeId="8212" r:id="rId9" name="Option Button 20">
              <controlPr defaultSize="0" autoFill="0" autoLine="0" autoPict="0">
                <anchor moveWithCells="1">
                  <from>
                    <xdr:col>5</xdr:col>
                    <xdr:colOff>12700</xdr:colOff>
                    <xdr:row>7</xdr:row>
                    <xdr:rowOff>165100</xdr:rowOff>
                  </from>
                  <to>
                    <xdr:col>5</xdr:col>
                    <xdr:colOff>1549400</xdr:colOff>
                    <xdr:row>9</xdr:row>
                    <xdr:rowOff>25400</xdr:rowOff>
                  </to>
                </anchor>
              </controlPr>
            </control>
          </mc:Choice>
        </mc:AlternateContent>
        <mc:AlternateContent xmlns:mc="http://schemas.openxmlformats.org/markup-compatibility/2006">
          <mc:Choice Requires="x14">
            <control shapeId="8214" r:id="rId10" name="Option Button 22">
              <controlPr defaultSize="0" autoFill="0" autoLine="0" autoPict="0">
                <anchor moveWithCells="1">
                  <from>
                    <xdr:col>5</xdr:col>
                    <xdr:colOff>12700</xdr:colOff>
                    <xdr:row>10</xdr:row>
                    <xdr:rowOff>165100</xdr:rowOff>
                  </from>
                  <to>
                    <xdr:col>5</xdr:col>
                    <xdr:colOff>1841500</xdr:colOff>
                    <xdr:row>12</xdr:row>
                    <xdr:rowOff>25400</xdr:rowOff>
                  </to>
                </anchor>
              </controlPr>
            </control>
          </mc:Choice>
        </mc:AlternateContent>
        <mc:AlternateContent xmlns:mc="http://schemas.openxmlformats.org/markup-compatibility/2006">
          <mc:Choice Requires="x14">
            <control shapeId="8217" r:id="rId11" name="Option Button 25">
              <controlPr defaultSize="0" autoFill="0" autoLine="0" autoPict="0">
                <anchor moveWithCells="1">
                  <from>
                    <xdr:col>5</xdr:col>
                    <xdr:colOff>12700</xdr:colOff>
                    <xdr:row>13</xdr:row>
                    <xdr:rowOff>165100</xdr:rowOff>
                  </from>
                  <to>
                    <xdr:col>5</xdr:col>
                    <xdr:colOff>1968500</xdr:colOff>
                    <xdr:row>15</xdr:row>
                    <xdr:rowOff>25400</xdr:rowOff>
                  </to>
                </anchor>
              </controlPr>
            </control>
          </mc:Choice>
        </mc:AlternateContent>
        <mc:AlternateContent xmlns:mc="http://schemas.openxmlformats.org/markup-compatibility/2006">
          <mc:Choice Requires="x14">
            <control shapeId="8218" r:id="rId12" name="Group Box 26">
              <controlPr defaultSize="0" autoFill="0" autoPict="0">
                <anchor moveWithCells="1">
                  <from>
                    <xdr:col>4</xdr:col>
                    <xdr:colOff>596900</xdr:colOff>
                    <xdr:row>18</xdr:row>
                    <xdr:rowOff>127000</xdr:rowOff>
                  </from>
                  <to>
                    <xdr:col>14</xdr:col>
                    <xdr:colOff>241300</xdr:colOff>
                    <xdr:row>27</xdr:row>
                    <xdr:rowOff>127000</xdr:rowOff>
                  </to>
                </anchor>
              </controlPr>
            </control>
          </mc:Choice>
        </mc:AlternateContent>
        <mc:AlternateContent xmlns:mc="http://schemas.openxmlformats.org/markup-compatibility/2006">
          <mc:Choice Requires="x14">
            <control shapeId="8219" r:id="rId13" name="Option Button 27">
              <controlPr defaultSize="0" autoFill="0" autoLine="0" autoPict="0">
                <anchor moveWithCells="1">
                  <from>
                    <xdr:col>5</xdr:col>
                    <xdr:colOff>12700</xdr:colOff>
                    <xdr:row>18</xdr:row>
                    <xdr:rowOff>165100</xdr:rowOff>
                  </from>
                  <to>
                    <xdr:col>5</xdr:col>
                    <xdr:colOff>965200</xdr:colOff>
                    <xdr:row>20</xdr:row>
                    <xdr:rowOff>12700</xdr:rowOff>
                  </to>
                </anchor>
              </controlPr>
            </control>
          </mc:Choice>
        </mc:AlternateContent>
        <mc:AlternateContent xmlns:mc="http://schemas.openxmlformats.org/markup-compatibility/2006">
          <mc:Choice Requires="x14">
            <control shapeId="8220" r:id="rId14" name="Option Button 28">
              <controlPr defaultSize="0" autoFill="0" autoLine="0" autoPict="0">
                <anchor moveWithCells="1">
                  <from>
                    <xdr:col>5</xdr:col>
                    <xdr:colOff>12700</xdr:colOff>
                    <xdr:row>21</xdr:row>
                    <xdr:rowOff>165100</xdr:rowOff>
                  </from>
                  <to>
                    <xdr:col>5</xdr:col>
                    <xdr:colOff>1955800</xdr:colOff>
                    <xdr:row>23</xdr:row>
                    <xdr:rowOff>12700</xdr:rowOff>
                  </to>
                </anchor>
              </controlPr>
            </control>
          </mc:Choice>
        </mc:AlternateContent>
        <mc:AlternateContent xmlns:mc="http://schemas.openxmlformats.org/markup-compatibility/2006">
          <mc:Choice Requires="x14">
            <control shapeId="8221" r:id="rId15" name="Option Button 29">
              <controlPr defaultSize="0" autoFill="0" autoLine="0" autoPict="0">
                <anchor moveWithCells="1">
                  <from>
                    <xdr:col>5</xdr:col>
                    <xdr:colOff>12700</xdr:colOff>
                    <xdr:row>24</xdr:row>
                    <xdr:rowOff>165100</xdr:rowOff>
                  </from>
                  <to>
                    <xdr:col>5</xdr:col>
                    <xdr:colOff>1955800</xdr:colOff>
                    <xdr:row>26</xdr:row>
                    <xdr:rowOff>12700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R49"/>
  <sheetViews>
    <sheetView zoomScale="90" zoomScaleNormal="90" workbookViewId="0">
      <selection activeCell="C15" sqref="C15"/>
    </sheetView>
  </sheetViews>
  <sheetFormatPr baseColWidth="10" defaultColWidth="8.83203125" defaultRowHeight="15" x14ac:dyDescent="0.2"/>
  <cols>
    <col min="1" max="2" width="8.83203125" style="1"/>
    <col min="3" max="3" width="21.83203125" style="1" customWidth="1"/>
    <col min="4" max="4" width="3" style="1" customWidth="1"/>
    <col min="5" max="5" width="8.83203125" style="1"/>
    <col min="6" max="6" width="15.5" style="1" customWidth="1"/>
    <col min="7" max="7" width="3.1640625" style="1" customWidth="1"/>
    <col min="8" max="8" width="8.83203125" style="1"/>
    <col min="9" max="9" width="15.5" style="1" customWidth="1"/>
    <col min="10" max="10" width="3.1640625" style="1" customWidth="1"/>
    <col min="11" max="11" width="8.83203125" style="1"/>
    <col min="12" max="12" width="15.5" style="1" customWidth="1"/>
    <col min="13" max="13" width="3" style="1" customWidth="1"/>
    <col min="14" max="14" width="8.83203125" style="1"/>
    <col min="15" max="15" width="4.1640625" style="1" customWidth="1"/>
    <col min="16" max="16" width="8.83203125" style="1"/>
    <col min="17" max="17" width="3" style="1" customWidth="1"/>
    <col min="18" max="16384" width="8.83203125" style="1"/>
  </cols>
  <sheetData>
    <row r="1" spans="2:17" ht="74.5" customHeight="1" x14ac:dyDescent="0.2"/>
    <row r="2" spans="2:17" ht="26" customHeight="1" x14ac:dyDescent="0.2">
      <c r="B2" s="183" t="str">
        <f>"How much will you charge for your " &amp;'(HIDE) Data Validation'!A6 &amp;"? A lower price may result in a boost to sales volume"</f>
        <v>How much will you charge for your Pizzas? A lower price may result in a boost to sales volume</v>
      </c>
      <c r="C2" s="183"/>
      <c r="D2" s="183"/>
      <c r="E2" s="183"/>
      <c r="F2" s="183"/>
      <c r="G2" s="183"/>
      <c r="H2" s="183"/>
      <c r="I2" s="183"/>
      <c r="J2" s="183"/>
      <c r="K2" s="183"/>
      <c r="L2" s="183"/>
      <c r="M2" s="183"/>
      <c r="N2" s="183"/>
      <c r="O2" s="183"/>
      <c r="P2" s="183"/>
      <c r="Q2" s="183"/>
    </row>
    <row r="3" spans="2:17" x14ac:dyDescent="0.2">
      <c r="B3" s="186" t="s">
        <v>436</v>
      </c>
      <c r="C3" s="186"/>
      <c r="D3" s="186"/>
      <c r="E3" s="186"/>
      <c r="F3" s="186"/>
      <c r="G3" s="186"/>
      <c r="H3" s="186"/>
      <c r="I3" s="186"/>
      <c r="J3" s="186"/>
      <c r="K3" s="186"/>
      <c r="L3" s="186"/>
      <c r="M3" s="186"/>
      <c r="N3" s="186"/>
      <c r="O3" s="186"/>
      <c r="P3" s="186"/>
      <c r="Q3" s="186"/>
    </row>
    <row r="4" spans="2:17" ht="8.25" customHeight="1" thickBot="1" x14ac:dyDescent="0.25">
      <c r="I4" s="2"/>
    </row>
    <row r="5" spans="2:17" ht="16" thickBot="1" x14ac:dyDescent="0.25">
      <c r="B5" s="140">
        <f>'(HIDE) Data Validation'!E3</f>
        <v>19</v>
      </c>
      <c r="H5" s="4" t="str">
        <f>IF('(HIDE) Data Validation'!C2=3,"NOTE:AS YOU ARE A FRANCHISE THIS HAS BEEN SET TO $"&amp;'(HIDE) Data Validation'!F5,"")</f>
        <v/>
      </c>
    </row>
    <row r="7" spans="2:17" ht="67" customHeight="1" x14ac:dyDescent="0.2">
      <c r="B7" s="183" t="str">
        <f>"How much will you spend on ingredients per " &amp;'(HIDE) Data Validation'!A6 &amp;"? If there is too much of a discrepancy between quality and "&amp;'(HIDE) Data Validation'!A6 &amp;" cost, sales will be impacted, however well priced "&amp;'(HIDE) Data Validation'!A6 &amp;" with quality ingredients will boost sales volume "</f>
        <v xml:space="preserve">How much will you spend on ingredients per Pizzas? If there is too much of a discrepancy between quality and Pizzas cost, sales will be impacted, however well priced Pizzas with quality ingredients will boost sales volume </v>
      </c>
      <c r="C7" s="183"/>
      <c r="D7" s="183"/>
      <c r="E7" s="183"/>
      <c r="F7" s="183"/>
      <c r="G7" s="183"/>
      <c r="H7" s="183"/>
      <c r="I7" s="183"/>
      <c r="J7" s="183"/>
      <c r="K7" s="183"/>
      <c r="L7" s="183"/>
      <c r="M7" s="183"/>
      <c r="N7" s="183"/>
      <c r="O7" s="183"/>
      <c r="P7" s="183"/>
      <c r="Q7" s="183"/>
    </row>
    <row r="8" spans="2:17" x14ac:dyDescent="0.2">
      <c r="B8" s="88" t="s">
        <v>450</v>
      </c>
      <c r="C8" s="8"/>
      <c r="D8" s="8"/>
      <c r="E8" s="8"/>
      <c r="F8" s="8"/>
      <c r="G8" s="8"/>
      <c r="H8" s="8"/>
      <c r="I8" s="8"/>
      <c r="J8" s="8"/>
      <c r="K8" s="8"/>
      <c r="L8" s="8"/>
      <c r="M8" s="8"/>
      <c r="N8" s="8"/>
      <c r="O8" s="8"/>
      <c r="P8" s="8"/>
      <c r="Q8" s="8"/>
    </row>
    <row r="9" spans="2:17" ht="8.25" customHeight="1" thickBot="1" x14ac:dyDescent="0.25">
      <c r="B9" s="7"/>
      <c r="C9" s="7"/>
      <c r="D9" s="7"/>
      <c r="E9" s="7"/>
      <c r="F9" s="7"/>
      <c r="G9" s="7"/>
      <c r="H9" s="7"/>
      <c r="I9" s="7"/>
      <c r="J9" s="7"/>
      <c r="K9" s="7"/>
      <c r="L9" s="7"/>
      <c r="M9" s="7"/>
      <c r="N9" s="7"/>
      <c r="O9" s="7"/>
      <c r="P9" s="7"/>
      <c r="Q9" s="7"/>
    </row>
    <row r="10" spans="2:17" ht="16" thickBot="1" x14ac:dyDescent="0.25">
      <c r="B10" s="140">
        <f>'(HIDE) Data Validation'!F3</f>
        <v>6.9</v>
      </c>
      <c r="H10" s="4" t="str">
        <f>IF('(HIDE) Data Validation'!C2=3,"NOTE:AS YOU ARE A FRANCHISE THIS HAS BEEN SET TO $"&amp;'(HIDE) Data Validation'!F6,"")</f>
        <v/>
      </c>
    </row>
    <row r="12" spans="2:17" ht="48.5" customHeight="1" x14ac:dyDescent="0.2">
      <c r="B12" s="183" t="s">
        <v>437</v>
      </c>
      <c r="C12" s="183"/>
      <c r="D12" s="183"/>
      <c r="E12" s="183"/>
      <c r="F12" s="183"/>
      <c r="G12" s="183"/>
      <c r="H12" s="183"/>
      <c r="I12" s="183"/>
      <c r="J12" s="183"/>
      <c r="K12" s="183"/>
      <c r="L12" s="183"/>
      <c r="M12" s="183"/>
      <c r="N12" s="183"/>
      <c r="O12" s="183"/>
      <c r="P12" s="183"/>
      <c r="Q12" s="183"/>
    </row>
    <row r="13" spans="2:17" x14ac:dyDescent="0.2">
      <c r="B13" s="88" t="s">
        <v>438</v>
      </c>
      <c r="C13" s="8"/>
      <c r="D13" s="8"/>
      <c r="E13" s="8"/>
      <c r="F13" s="8"/>
      <c r="G13" s="8"/>
      <c r="H13" s="8"/>
      <c r="I13" s="8"/>
      <c r="J13" s="8"/>
      <c r="K13" s="8"/>
      <c r="L13" s="8"/>
      <c r="M13" s="8"/>
      <c r="N13" s="8"/>
      <c r="O13" s="8"/>
      <c r="P13" s="8"/>
      <c r="Q13" s="8"/>
    </row>
    <row r="14" spans="2:17" ht="8.25" customHeight="1" x14ac:dyDescent="0.2"/>
    <row r="15" spans="2:17" x14ac:dyDescent="0.2">
      <c r="B15" s="6" t="s">
        <v>40</v>
      </c>
      <c r="C15" s="11">
        <v>5000</v>
      </c>
      <c r="E15" s="1" t="str">
        <f>"+"&amp;'(HIDE) Data Validation'!I5&amp;"% boost to base sales (Additive with other factors)"</f>
        <v>+23.57% boost to base sales (Additive with other factors)</v>
      </c>
    </row>
    <row r="17" spans="2:18" ht="49" customHeight="1" x14ac:dyDescent="0.2">
      <c r="B17" s="183" t="s">
        <v>510</v>
      </c>
      <c r="C17" s="183"/>
      <c r="D17" s="183"/>
      <c r="E17" s="183"/>
      <c r="F17" s="183"/>
      <c r="G17" s="183"/>
      <c r="H17" s="183"/>
      <c r="I17" s="183"/>
      <c r="J17" s="183"/>
      <c r="K17" s="183"/>
      <c r="L17" s="183"/>
      <c r="M17" s="183"/>
      <c r="N17" s="183"/>
      <c r="O17" s="183"/>
      <c r="P17" s="183"/>
      <c r="Q17" s="183"/>
    </row>
    <row r="18" spans="2:18" x14ac:dyDescent="0.2">
      <c r="B18" s="88" t="s">
        <v>439</v>
      </c>
      <c r="C18" s="8"/>
      <c r="D18" s="8"/>
      <c r="E18" s="8"/>
      <c r="F18" s="8"/>
      <c r="G18" s="8"/>
      <c r="H18" s="8"/>
      <c r="I18" s="8"/>
      <c r="J18" s="8"/>
      <c r="K18" s="8"/>
      <c r="L18" s="8"/>
      <c r="M18" s="8"/>
      <c r="N18" s="8"/>
      <c r="O18" s="8"/>
      <c r="P18" s="8"/>
      <c r="Q18" s="8"/>
    </row>
    <row r="19" spans="2:18" ht="9.25" customHeight="1" thickBot="1" x14ac:dyDescent="0.25"/>
    <row r="20" spans="2:18" ht="16" thickBot="1" x14ac:dyDescent="0.25">
      <c r="B20" s="140" t="str">
        <f>"$"&amp;'(HIDE) Data Validation'!J2&amp;"/hr"</f>
        <v>$20/hr</v>
      </c>
      <c r="F20" s="1" t="str">
        <f>'(HIDE) Data Validation'!J5&amp;"% boost to base sales (Additive with other factors)"</f>
        <v>0% boost to base sales (Additive with other factors)</v>
      </c>
    </row>
    <row r="22" spans="2:18" ht="14.75" customHeight="1" x14ac:dyDescent="0.2">
      <c r="B22" s="183" t="str">
        <f>"You will need equipment for your kitchens. After approaching several suppliers, you have received four suitable bids. These are complete packages. Costs include purchase and installation of "&amp;'(HIDE) Data Validation'!B6&amp;", Hot and Cold Storage, HVAC and Sinks."</f>
        <v>You will need equipment for your kitchens. After approaching several suppliers, you have received four suitable bids. These are complete packages. Costs include purchase and installation of Pizza Ovens, Hot and Cold Storage, HVAC and Sinks.</v>
      </c>
      <c r="C22" s="183"/>
      <c r="D22" s="183"/>
      <c r="E22" s="183"/>
      <c r="F22" s="183"/>
      <c r="G22" s="183"/>
      <c r="H22" s="183"/>
      <c r="I22" s="183"/>
      <c r="J22" s="183"/>
      <c r="K22" s="183"/>
      <c r="L22" s="183"/>
      <c r="M22" s="183"/>
      <c r="N22" s="183"/>
      <c r="O22" s="183"/>
      <c r="P22" s="183"/>
      <c r="Q22" s="183"/>
      <c r="R22" s="7"/>
    </row>
    <row r="23" spans="2:18" ht="48.5" customHeight="1" x14ac:dyDescent="0.2">
      <c r="B23" s="183"/>
      <c r="C23" s="183"/>
      <c r="D23" s="183"/>
      <c r="E23" s="183"/>
      <c r="F23" s="183"/>
      <c r="G23" s="183"/>
      <c r="H23" s="183"/>
      <c r="I23" s="183"/>
      <c r="J23" s="183"/>
      <c r="K23" s="183"/>
      <c r="L23" s="183"/>
      <c r="M23" s="183"/>
      <c r="N23" s="183"/>
      <c r="O23" s="183"/>
      <c r="P23" s="183"/>
      <c r="Q23" s="183"/>
      <c r="R23" s="7"/>
    </row>
    <row r="24" spans="2:18" x14ac:dyDescent="0.2">
      <c r="B24" s="185" t="s">
        <v>440</v>
      </c>
      <c r="C24" s="185"/>
      <c r="D24" s="185"/>
      <c r="E24" s="185"/>
      <c r="F24" s="185"/>
      <c r="G24" s="185"/>
      <c r="H24" s="185"/>
      <c r="I24" s="185"/>
      <c r="J24" s="185"/>
      <c r="K24" s="185"/>
      <c r="L24" s="185"/>
      <c r="M24" s="185"/>
      <c r="N24" s="185"/>
      <c r="O24" s="185"/>
      <c r="P24" s="185"/>
      <c r="Q24" s="185"/>
      <c r="R24" s="7"/>
    </row>
    <row r="25" spans="2:18" x14ac:dyDescent="0.2">
      <c r="B25" s="184" t="s">
        <v>441</v>
      </c>
      <c r="C25" s="184"/>
      <c r="D25" s="184"/>
      <c r="E25" s="184"/>
      <c r="F25" s="184"/>
      <c r="G25" s="184"/>
      <c r="H25" s="184"/>
      <c r="I25" s="184"/>
      <c r="J25" s="184"/>
      <c r="K25" s="184"/>
      <c r="L25" s="184"/>
      <c r="M25" s="184"/>
      <c r="N25" s="184"/>
      <c r="O25" s="184"/>
      <c r="P25" s="184"/>
      <c r="Q25" s="184"/>
      <c r="R25" s="7"/>
    </row>
    <row r="27" spans="2:18" ht="19.75" customHeight="1" x14ac:dyDescent="0.2">
      <c r="C27" s="10"/>
      <c r="F27" s="10"/>
      <c r="G27" s="9"/>
      <c r="I27" s="10"/>
      <c r="J27" s="9"/>
      <c r="L27" s="10"/>
    </row>
    <row r="28" spans="2:18" x14ac:dyDescent="0.2">
      <c r="C28" s="10"/>
      <c r="F28" s="10"/>
      <c r="G28" s="9"/>
      <c r="I28" s="10"/>
      <c r="J28" s="9"/>
      <c r="L28" s="10"/>
      <c r="M28" s="9"/>
    </row>
    <row r="29" spans="2:18" x14ac:dyDescent="0.2">
      <c r="B29" s="1" t="s">
        <v>111</v>
      </c>
      <c r="C29" s="10"/>
      <c r="D29" s="180">
        <f>'(HIDE) Data Validation'!F18</f>
        <v>21000</v>
      </c>
      <c r="E29" s="181"/>
      <c r="F29" s="182"/>
      <c r="G29" s="180">
        <f>'(HIDE) Data Validation'!G18</f>
        <v>17000</v>
      </c>
      <c r="H29" s="181"/>
      <c r="I29" s="182"/>
      <c r="J29" s="180">
        <f>'(HIDE) Data Validation'!H18</f>
        <v>32000</v>
      </c>
      <c r="K29" s="181"/>
      <c r="L29" s="182"/>
      <c r="M29" s="180">
        <f>'(HIDE) Data Validation'!I18</f>
        <v>13000</v>
      </c>
      <c r="N29" s="181"/>
      <c r="O29" s="181"/>
      <c r="P29" s="181"/>
    </row>
    <row r="30" spans="2:18" x14ac:dyDescent="0.2">
      <c r="C30" s="10"/>
      <c r="F30" s="10"/>
      <c r="G30" s="9"/>
      <c r="I30" s="10"/>
      <c r="J30" s="9"/>
      <c r="L30" s="10"/>
      <c r="M30" s="9"/>
    </row>
    <row r="31" spans="2:18" x14ac:dyDescent="0.2">
      <c r="B31" s="1" t="s">
        <v>77</v>
      </c>
      <c r="C31" s="10"/>
      <c r="D31" s="190" t="str">
        <f>'(HIDE) Data Validation'!F19&amp;" years"</f>
        <v>15 years</v>
      </c>
      <c r="E31" s="191"/>
      <c r="F31" s="192"/>
      <c r="G31" s="190" t="str">
        <f>'(HIDE) Data Validation'!G19&amp;" years"</f>
        <v>10 years</v>
      </c>
      <c r="H31" s="191"/>
      <c r="I31" s="192"/>
      <c r="J31" s="190" t="str">
        <f>'(HIDE) Data Validation'!H19&amp;" years"</f>
        <v>17 years</v>
      </c>
      <c r="K31" s="191"/>
      <c r="L31" s="192"/>
      <c r="M31" s="190" t="str">
        <f>'(HIDE) Data Validation'!I19&amp;" years"</f>
        <v>8 years</v>
      </c>
      <c r="N31" s="191"/>
      <c r="O31" s="191"/>
      <c r="P31" s="191"/>
    </row>
    <row r="32" spans="2:18" x14ac:dyDescent="0.2">
      <c r="C32" s="10"/>
      <c r="F32" s="10"/>
      <c r="G32" s="9"/>
      <c r="I32" s="10"/>
      <c r="J32" s="9"/>
      <c r="L32" s="10"/>
      <c r="M32" s="9"/>
    </row>
    <row r="33" spans="1:16" x14ac:dyDescent="0.2">
      <c r="B33" s="1" t="s">
        <v>112</v>
      </c>
      <c r="C33" s="10"/>
      <c r="D33" s="190" t="str">
        <f>'(HIDE) Data Validation'!F20&amp;" "&amp;'(HIDE) Data Validation'!A6</f>
        <v>6000 Pizzas</v>
      </c>
      <c r="E33" s="191"/>
      <c r="F33" s="192"/>
      <c r="G33" s="190" t="str">
        <f>'(HIDE) Data Validation'!G20&amp;" "&amp;'(HIDE) Data Validation'!A6</f>
        <v>5500 Pizzas</v>
      </c>
      <c r="H33" s="191"/>
      <c r="I33" s="192"/>
      <c r="J33" s="190" t="str">
        <f>'(HIDE) Data Validation'!H20&amp;" "&amp;'(HIDE) Data Validation'!A6</f>
        <v>7500 Pizzas</v>
      </c>
      <c r="K33" s="191"/>
      <c r="L33" s="192"/>
      <c r="M33" s="190" t="str">
        <f>'(HIDE) Data Validation'!I20&amp;" "&amp;'(HIDE) Data Validation'!A6</f>
        <v>4000 Pizzas</v>
      </c>
      <c r="N33" s="191"/>
      <c r="O33" s="191"/>
      <c r="P33" s="191"/>
    </row>
    <row r="34" spans="1:16" x14ac:dyDescent="0.2">
      <c r="C34" s="10"/>
      <c r="F34" s="10"/>
      <c r="G34" s="9"/>
      <c r="I34" s="10"/>
      <c r="J34" s="9"/>
      <c r="L34" s="10"/>
      <c r="M34" s="9"/>
    </row>
    <row r="35" spans="1:16" x14ac:dyDescent="0.2">
      <c r="B35" s="1" t="s">
        <v>110</v>
      </c>
      <c r="C35" s="10"/>
      <c r="D35" s="187" t="str">
        <f>"$"&amp;'(HIDE) Data Validation'!F21&amp;" per month"</f>
        <v>$1200 per month</v>
      </c>
      <c r="E35" s="188"/>
      <c r="F35" s="189"/>
      <c r="G35" s="187" t="str">
        <f>"$"&amp;'(HIDE) Data Validation'!G21&amp;" per month"</f>
        <v>$1000 per month</v>
      </c>
      <c r="H35" s="188"/>
      <c r="I35" s="189"/>
      <c r="J35" s="187" t="str">
        <f>"$"&amp;'(HIDE) Data Validation'!H21&amp;" per month"</f>
        <v>$1100 per month</v>
      </c>
      <c r="K35" s="188"/>
      <c r="L35" s="189"/>
      <c r="M35" s="187" t="str">
        <f>"$"&amp;'(HIDE) Data Validation'!I21&amp;" per month"</f>
        <v>$800 per month</v>
      </c>
      <c r="N35" s="188"/>
      <c r="O35" s="188"/>
      <c r="P35" s="188"/>
    </row>
    <row r="36" spans="1:16" x14ac:dyDescent="0.2">
      <c r="C36" s="10"/>
      <c r="F36" s="10"/>
      <c r="G36" s="9"/>
      <c r="I36" s="10"/>
      <c r="J36" s="9"/>
      <c r="K36" s="1" t="s">
        <v>444</v>
      </c>
      <c r="L36" s="10"/>
      <c r="M36" s="9"/>
    </row>
    <row r="37" spans="1:16" x14ac:dyDescent="0.2">
      <c r="C37" s="10"/>
      <c r="F37" s="10"/>
      <c r="G37" s="9"/>
      <c r="I37" s="10"/>
      <c r="J37" s="9"/>
      <c r="L37" s="10"/>
      <c r="M37" s="9"/>
    </row>
    <row r="38" spans="1:16" x14ac:dyDescent="0.2">
      <c r="C38" s="10"/>
      <c r="F38" s="10"/>
      <c r="I38" s="10"/>
      <c r="L38" s="10"/>
    </row>
    <row r="41" spans="1:16" ht="16" x14ac:dyDescent="0.2">
      <c r="A41" s="166"/>
    </row>
    <row r="42" spans="1:16" ht="16" x14ac:dyDescent="0.2">
      <c r="A42" s="166"/>
    </row>
    <row r="43" spans="1:16" ht="16" x14ac:dyDescent="0.2">
      <c r="A43" s="166"/>
    </row>
    <row r="44" spans="1:16" ht="16" x14ac:dyDescent="0.2">
      <c r="A44" s="166"/>
    </row>
    <row r="45" spans="1:16" ht="16" x14ac:dyDescent="0.2">
      <c r="A45" s="166"/>
    </row>
    <row r="46" spans="1:16" s="168" customFormat="1" ht="16" x14ac:dyDescent="0.2">
      <c r="A46" s="167"/>
    </row>
    <row r="47" spans="1:16" ht="16" x14ac:dyDescent="0.2">
      <c r="A47" s="166"/>
    </row>
    <row r="48" spans="1:16" ht="16" x14ac:dyDescent="0.2">
      <c r="A48" s="166"/>
    </row>
    <row r="49" spans="1:1" ht="16" x14ac:dyDescent="0.2">
      <c r="A49" s="166"/>
    </row>
  </sheetData>
  <sheetProtection algorithmName="SHA-512" hashValue="rLyIaQWJzzLwuaJHTg8AWo+nIAvq09wqE4Lzmor8GWuyUkw/bWJfcogxU2OWYmhTmMWIMqWnVmryDZEcGS1MoA==" saltValue="5iUrSF9NQHuzT5cOUWcJ5A==" spinCount="100000" sheet="1" formatColumns="0" formatRows="0" selectLockedCells="1"/>
  <mergeCells count="24">
    <mergeCell ref="D35:F35"/>
    <mergeCell ref="G35:I35"/>
    <mergeCell ref="J35:L35"/>
    <mergeCell ref="M35:P35"/>
    <mergeCell ref="G31:I31"/>
    <mergeCell ref="J31:L31"/>
    <mergeCell ref="M31:P31"/>
    <mergeCell ref="D33:F33"/>
    <mergeCell ref="D31:F31"/>
    <mergeCell ref="M33:P33"/>
    <mergeCell ref="G33:I33"/>
    <mergeCell ref="J33:L33"/>
    <mergeCell ref="D29:F29"/>
    <mergeCell ref="G29:I29"/>
    <mergeCell ref="J29:L29"/>
    <mergeCell ref="M29:P29"/>
    <mergeCell ref="B2:Q2"/>
    <mergeCell ref="B25:Q25"/>
    <mergeCell ref="B24:Q24"/>
    <mergeCell ref="B22:Q23"/>
    <mergeCell ref="B12:Q12"/>
    <mergeCell ref="B3:Q3"/>
    <mergeCell ref="B7:Q7"/>
    <mergeCell ref="B17:Q17"/>
  </mergeCells>
  <conditionalFormatting sqref="C15">
    <cfRule type="cellIs" dxfId="0" priority="1" operator="lessThan">
      <formula>0</formula>
    </cfRule>
  </conditionalFormatting>
  <dataValidations count="1">
    <dataValidation type="whole" operator="greaterThanOrEqual" allowBlank="1" showInputMessage="1" showErrorMessage="1" error="Must be a non-negative whole number " sqref="C15" xr:uid="{00000000-0002-0000-0300-000000000000}">
      <formula1>0</formula1>
    </dataValidation>
  </dataValidations>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Scroll Bar 1">
              <controlPr defaultSize="0" autoPict="0">
                <anchor moveWithCells="1">
                  <from>
                    <xdr:col>2</xdr:col>
                    <xdr:colOff>38100</xdr:colOff>
                    <xdr:row>4</xdr:row>
                    <xdr:rowOff>0</xdr:rowOff>
                  </from>
                  <to>
                    <xdr:col>4</xdr:col>
                    <xdr:colOff>558800</xdr:colOff>
                    <xdr:row>4</xdr:row>
                    <xdr:rowOff>177800</xdr:rowOff>
                  </to>
                </anchor>
              </controlPr>
            </control>
          </mc:Choice>
        </mc:AlternateContent>
        <mc:AlternateContent xmlns:mc="http://schemas.openxmlformats.org/markup-compatibility/2006">
          <mc:Choice Requires="x14">
            <control shapeId="11266" r:id="rId5" name="Scroll Bar 2">
              <controlPr defaultSize="0" autoPict="0">
                <anchor moveWithCells="1">
                  <from>
                    <xdr:col>2</xdr:col>
                    <xdr:colOff>25400</xdr:colOff>
                    <xdr:row>9</xdr:row>
                    <xdr:rowOff>0</xdr:rowOff>
                  </from>
                  <to>
                    <xdr:col>4</xdr:col>
                    <xdr:colOff>558800</xdr:colOff>
                    <xdr:row>9</xdr:row>
                    <xdr:rowOff>177800</xdr:rowOff>
                  </to>
                </anchor>
              </controlPr>
            </control>
          </mc:Choice>
        </mc:AlternateContent>
        <mc:AlternateContent xmlns:mc="http://schemas.openxmlformats.org/markup-compatibility/2006">
          <mc:Choice Requires="x14">
            <control shapeId="11267" r:id="rId6" name="Scroll Bar 3">
              <controlPr defaultSize="0" autoPict="0">
                <anchor moveWithCells="1">
                  <from>
                    <xdr:col>2</xdr:col>
                    <xdr:colOff>38100</xdr:colOff>
                    <xdr:row>19</xdr:row>
                    <xdr:rowOff>12700</xdr:rowOff>
                  </from>
                  <to>
                    <xdr:col>4</xdr:col>
                    <xdr:colOff>558800</xdr:colOff>
                    <xdr:row>19</xdr:row>
                    <xdr:rowOff>190500</xdr:rowOff>
                  </to>
                </anchor>
              </controlPr>
            </control>
          </mc:Choice>
        </mc:AlternateContent>
        <mc:AlternateContent xmlns:mc="http://schemas.openxmlformats.org/markup-compatibility/2006">
          <mc:Choice Requires="x14">
            <control shapeId="11268" r:id="rId7" name="Group Box 4">
              <controlPr defaultSize="0" autoFill="0" autoPict="0">
                <anchor moveWithCells="1">
                  <from>
                    <xdr:col>0</xdr:col>
                    <xdr:colOff>406400</xdr:colOff>
                    <xdr:row>25</xdr:row>
                    <xdr:rowOff>127000</xdr:rowOff>
                  </from>
                  <to>
                    <xdr:col>16</xdr:col>
                    <xdr:colOff>76200</xdr:colOff>
                    <xdr:row>38</xdr:row>
                    <xdr:rowOff>101600</xdr:rowOff>
                  </to>
                </anchor>
              </controlPr>
            </control>
          </mc:Choice>
        </mc:AlternateContent>
        <mc:AlternateContent xmlns:mc="http://schemas.openxmlformats.org/markup-compatibility/2006">
          <mc:Choice Requires="x14">
            <control shapeId="11269" r:id="rId8" name="Option Button 5">
              <controlPr defaultSize="0" autoFill="0" autoLine="0" autoPict="0">
                <anchor moveWithCells="1">
                  <from>
                    <xdr:col>3</xdr:col>
                    <xdr:colOff>101600</xdr:colOff>
                    <xdr:row>25</xdr:row>
                    <xdr:rowOff>177800</xdr:rowOff>
                  </from>
                  <to>
                    <xdr:col>5</xdr:col>
                    <xdr:colOff>965200</xdr:colOff>
                    <xdr:row>26</xdr:row>
                    <xdr:rowOff>215900</xdr:rowOff>
                  </to>
                </anchor>
              </controlPr>
            </control>
          </mc:Choice>
        </mc:AlternateContent>
        <mc:AlternateContent xmlns:mc="http://schemas.openxmlformats.org/markup-compatibility/2006">
          <mc:Choice Requires="x14">
            <control shapeId="11270" r:id="rId9" name="Option Button 6">
              <controlPr defaultSize="0" autoFill="0" autoLine="0" autoPict="0">
                <anchor moveWithCells="1">
                  <from>
                    <xdr:col>6</xdr:col>
                    <xdr:colOff>88900</xdr:colOff>
                    <xdr:row>25</xdr:row>
                    <xdr:rowOff>177800</xdr:rowOff>
                  </from>
                  <to>
                    <xdr:col>8</xdr:col>
                    <xdr:colOff>1130300</xdr:colOff>
                    <xdr:row>26</xdr:row>
                    <xdr:rowOff>215900</xdr:rowOff>
                  </to>
                </anchor>
              </controlPr>
            </control>
          </mc:Choice>
        </mc:AlternateContent>
        <mc:AlternateContent xmlns:mc="http://schemas.openxmlformats.org/markup-compatibility/2006">
          <mc:Choice Requires="x14">
            <control shapeId="11271" r:id="rId10" name="Option Button 7">
              <controlPr defaultSize="0" autoFill="0" autoLine="0" autoPict="0">
                <anchor moveWithCells="1">
                  <from>
                    <xdr:col>9</xdr:col>
                    <xdr:colOff>88900</xdr:colOff>
                    <xdr:row>25</xdr:row>
                    <xdr:rowOff>177800</xdr:rowOff>
                  </from>
                  <to>
                    <xdr:col>11</xdr:col>
                    <xdr:colOff>838200</xdr:colOff>
                    <xdr:row>26</xdr:row>
                    <xdr:rowOff>215900</xdr:rowOff>
                  </to>
                </anchor>
              </controlPr>
            </control>
          </mc:Choice>
        </mc:AlternateContent>
        <mc:AlternateContent xmlns:mc="http://schemas.openxmlformats.org/markup-compatibility/2006">
          <mc:Choice Requires="x14">
            <control shapeId="11273" r:id="rId11" name="Option Button 9">
              <controlPr defaultSize="0" autoFill="0" autoLine="0" autoPict="0">
                <anchor moveWithCells="1">
                  <from>
                    <xdr:col>12</xdr:col>
                    <xdr:colOff>101600</xdr:colOff>
                    <xdr:row>25</xdr:row>
                    <xdr:rowOff>177800</xdr:rowOff>
                  </from>
                  <to>
                    <xdr:col>16</xdr:col>
                    <xdr:colOff>12700</xdr:colOff>
                    <xdr:row>26</xdr:row>
                    <xdr:rowOff>215900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M49"/>
  <sheetViews>
    <sheetView zoomScale="85" zoomScaleNormal="85" workbookViewId="0">
      <selection activeCell="M1" sqref="M1"/>
    </sheetView>
  </sheetViews>
  <sheetFormatPr baseColWidth="10" defaultColWidth="8.83203125" defaultRowHeight="15" x14ac:dyDescent="0.2"/>
  <cols>
    <col min="1" max="2" width="8.83203125" style="1"/>
    <col min="3" max="3" width="16.5" style="1" customWidth="1"/>
    <col min="4" max="4" width="12.5" style="1" customWidth="1"/>
    <col min="5" max="10" width="8.83203125" style="1"/>
    <col min="11" max="11" width="22.5" style="1" customWidth="1"/>
    <col min="12" max="18" width="8.83203125" style="1"/>
    <col min="19" max="19" width="9.5" style="1" customWidth="1"/>
    <col min="20" max="16384" width="8.83203125" style="1"/>
  </cols>
  <sheetData>
    <row r="1" spans="2:13" ht="72" customHeight="1" x14ac:dyDescent="0.2"/>
    <row r="2" spans="2:13" x14ac:dyDescent="0.2">
      <c r="B2" s="1" t="s">
        <v>275</v>
      </c>
      <c r="M2" s="172" t="s">
        <v>330</v>
      </c>
    </row>
    <row r="4" spans="2:13" ht="16" x14ac:dyDescent="0.2">
      <c r="B4" s="29" t="s">
        <v>333</v>
      </c>
    </row>
    <row r="5" spans="2:13" x14ac:dyDescent="0.2">
      <c r="B5" s="184" t="s">
        <v>276</v>
      </c>
      <c r="C5" s="184"/>
      <c r="D5" s="184"/>
      <c r="E5" s="184"/>
      <c r="F5" s="184"/>
      <c r="G5" s="184"/>
      <c r="H5" s="184"/>
      <c r="I5" s="184"/>
      <c r="J5" s="184"/>
      <c r="K5" s="184"/>
    </row>
    <row r="6" spans="2:13" ht="14.75" customHeight="1" x14ac:dyDescent="0.2">
      <c r="B6" s="184"/>
      <c r="C6" s="184"/>
      <c r="D6" s="184"/>
      <c r="E6" s="184"/>
      <c r="F6" s="184"/>
      <c r="G6" s="184"/>
      <c r="H6" s="184"/>
      <c r="I6" s="184"/>
      <c r="J6" s="184"/>
      <c r="K6" s="184"/>
    </row>
    <row r="7" spans="2:13" x14ac:dyDescent="0.2">
      <c r="B7" s="184"/>
      <c r="C7" s="184"/>
      <c r="D7" s="184"/>
      <c r="E7" s="184"/>
      <c r="F7" s="184"/>
      <c r="G7" s="184"/>
      <c r="H7" s="184"/>
      <c r="I7" s="184"/>
      <c r="J7" s="184"/>
      <c r="K7" s="184"/>
    </row>
    <row r="8" spans="2:13" x14ac:dyDescent="0.2">
      <c r="D8" s="194" t="str">
        <f>"Initial Cost = $"&amp;TEXT('(HIDE) Data Validation'!F33,"#,##0;;@")&amp;". Running Cost = $"&amp;TEXT('(HIDE) Data Validation'!F34,"#,##0;;@")&amp;" per month. -"&amp;'(HIDE) Data Validation'!F36&amp;"% reduction in food purchase cost"</f>
        <v>Initial Cost = $100,000. Running Cost = $1,000 per month. -3% reduction in food purchase cost</v>
      </c>
      <c r="E8" s="194"/>
      <c r="F8" s="194"/>
      <c r="G8" s="194"/>
      <c r="H8" s="194"/>
      <c r="I8" s="194"/>
      <c r="J8" s="194"/>
      <c r="K8" s="194"/>
    </row>
    <row r="9" spans="2:13" ht="7.75" customHeight="1" x14ac:dyDescent="0.2">
      <c r="D9" s="170"/>
      <c r="E9" s="170"/>
      <c r="F9" s="170"/>
      <c r="G9" s="170"/>
      <c r="H9" s="170"/>
      <c r="I9" s="170"/>
      <c r="J9" s="170"/>
      <c r="K9" s="170"/>
    </row>
    <row r="10" spans="2:13" x14ac:dyDescent="0.2">
      <c r="D10" s="170" t="s">
        <v>286</v>
      </c>
      <c r="E10" s="170"/>
      <c r="F10" s="170"/>
      <c r="G10" s="170"/>
      <c r="H10" s="170"/>
      <c r="I10" s="170"/>
      <c r="J10" s="170"/>
      <c r="K10" s="170"/>
    </row>
    <row r="13" spans="2:13" ht="16" x14ac:dyDescent="0.2">
      <c r="B13" s="29" t="s">
        <v>277</v>
      </c>
    </row>
    <row r="14" spans="2:13" x14ac:dyDescent="0.2">
      <c r="B14" s="184" t="s">
        <v>278</v>
      </c>
      <c r="C14" s="184"/>
      <c r="D14" s="184"/>
      <c r="E14" s="184"/>
      <c r="F14" s="184"/>
      <c r="G14" s="184"/>
      <c r="H14" s="184"/>
      <c r="I14" s="184"/>
      <c r="J14" s="184"/>
      <c r="K14" s="184"/>
    </row>
    <row r="15" spans="2:13" x14ac:dyDescent="0.2">
      <c r="B15" s="184"/>
      <c r="C15" s="184"/>
      <c r="D15" s="184"/>
      <c r="E15" s="184"/>
      <c r="F15" s="184"/>
      <c r="G15" s="184"/>
      <c r="H15" s="184"/>
      <c r="I15" s="184"/>
      <c r="J15" s="184"/>
      <c r="K15" s="184"/>
    </row>
    <row r="16" spans="2:13" x14ac:dyDescent="0.2">
      <c r="B16" s="184"/>
      <c r="C16" s="184"/>
      <c r="D16" s="184"/>
      <c r="E16" s="184"/>
      <c r="F16" s="184"/>
      <c r="G16" s="184"/>
      <c r="H16" s="184"/>
      <c r="I16" s="184"/>
      <c r="J16" s="184"/>
      <c r="K16" s="184"/>
    </row>
    <row r="17" spans="2:11" x14ac:dyDescent="0.2">
      <c r="D17" s="170" t="str">
        <f>"$"&amp;TEXT('(HIDE) Data Validation'!F41,"#,##0;;@")&amp;" per "&amp;'(HIDE) Data Validation'!G39&amp;" "&amp;'(HIDE) Data Validation'!A6&amp;" sales. No other effects"</f>
        <v>$2,500 per 5000 Pizzas sales. No other effects</v>
      </c>
    </row>
    <row r="18" spans="2:11" ht="6.5" customHeight="1" x14ac:dyDescent="0.2">
      <c r="D18" s="170"/>
    </row>
    <row r="19" spans="2:11" x14ac:dyDescent="0.2">
      <c r="D19" s="170" t="str">
        <f>"$"&amp;TEXT('(HIDE) Data Validation'!G41,"#,##0;;@")&amp;" per "&amp;'(HIDE) Data Validation'!G39&amp;" "&amp;'(HIDE) Data Validation'!A6&amp;" sales. +"&amp;'(HIDE) Data Validation'!G42&amp;" Initial Sales. +"&amp;'(HIDE) Data Validation'!G44&amp;"% increase to sales growth"</f>
        <v>$8,000 per 5000 Pizzas sales. +500 Initial Sales. +3% increase to sales growth</v>
      </c>
    </row>
    <row r="20" spans="2:11" ht="6.5" customHeight="1" x14ac:dyDescent="0.2">
      <c r="D20" s="170"/>
    </row>
    <row r="21" spans="2:11" x14ac:dyDescent="0.2">
      <c r="D21" s="170" t="str">
        <f>"$"&amp;TEXT('(HIDE) Data Validation'!H41,"#,##0;;@")&amp;" per "&amp;'(HIDE) Data Validation'!G39&amp;" "&amp;'(HIDE) Data Validation'!A6&amp;" sales. +"&amp;'(HIDE) Data Validation'!H42&amp;" Initial Sales. +"&amp;'(HIDE) Data Validation'!H44&amp;"% increase to sales growth"</f>
        <v>$18,000 per 5000 Pizzas sales. +1000 Initial Sales. +5% increase to sales growth</v>
      </c>
    </row>
    <row r="22" spans="2:11" ht="6.5" customHeight="1" x14ac:dyDescent="0.2"/>
    <row r="25" spans="2:11" ht="16" x14ac:dyDescent="0.2">
      <c r="B25" s="29" t="s">
        <v>311</v>
      </c>
    </row>
    <row r="26" spans="2:11" x14ac:dyDescent="0.2">
      <c r="E26" s="193" t="s">
        <v>306</v>
      </c>
      <c r="F26" s="193"/>
      <c r="G26" s="193"/>
      <c r="H26" s="193"/>
      <c r="I26" s="193"/>
      <c r="J26" s="193"/>
      <c r="K26" s="193"/>
    </row>
    <row r="27" spans="2:11" ht="6.5" customHeight="1" x14ac:dyDescent="0.2">
      <c r="E27" s="170"/>
      <c r="F27" s="170"/>
      <c r="G27" s="170"/>
      <c r="H27" s="170"/>
      <c r="I27" s="170"/>
      <c r="J27" s="170"/>
      <c r="K27" s="170"/>
    </row>
    <row r="28" spans="2:11" x14ac:dyDescent="0.2">
      <c r="E28" s="175" t="s">
        <v>451</v>
      </c>
      <c r="F28" s="175"/>
      <c r="G28" s="175"/>
      <c r="H28" s="175"/>
      <c r="I28" s="175"/>
      <c r="J28" s="175"/>
      <c r="K28" s="175"/>
    </row>
    <row r="29" spans="2:11" x14ac:dyDescent="0.2">
      <c r="E29" s="175"/>
      <c r="F29" s="175"/>
      <c r="G29" s="175"/>
      <c r="H29" s="175"/>
      <c r="I29" s="175"/>
      <c r="J29" s="175"/>
      <c r="K29" s="175"/>
    </row>
    <row r="30" spans="2:11" x14ac:dyDescent="0.2">
      <c r="E30" s="175"/>
      <c r="F30" s="175"/>
      <c r="G30" s="175"/>
      <c r="H30" s="175"/>
      <c r="I30" s="175"/>
      <c r="J30" s="175"/>
      <c r="K30" s="175"/>
    </row>
    <row r="31" spans="2:11" ht="6.5" customHeight="1" x14ac:dyDescent="0.2">
      <c r="E31" s="170"/>
      <c r="F31" s="170"/>
      <c r="G31" s="170"/>
      <c r="H31" s="170"/>
      <c r="I31" s="170"/>
      <c r="J31" s="170"/>
      <c r="K31" s="170"/>
    </row>
    <row r="32" spans="2:11" x14ac:dyDescent="0.2">
      <c r="E32" s="175" t="s">
        <v>308</v>
      </c>
      <c r="F32" s="175"/>
      <c r="G32" s="175"/>
      <c r="H32" s="175"/>
      <c r="I32" s="175"/>
      <c r="J32" s="175"/>
      <c r="K32" s="175"/>
    </row>
    <row r="33" spans="1:11" x14ac:dyDescent="0.2">
      <c r="E33" s="175"/>
      <c r="F33" s="175"/>
      <c r="G33" s="175"/>
      <c r="H33" s="175"/>
      <c r="I33" s="175"/>
      <c r="J33" s="175"/>
      <c r="K33" s="175"/>
    </row>
    <row r="34" spans="1:11" x14ac:dyDescent="0.2">
      <c r="E34" s="175"/>
      <c r="F34" s="175"/>
      <c r="G34" s="175"/>
      <c r="H34" s="175"/>
      <c r="I34" s="175"/>
      <c r="J34" s="175"/>
      <c r="K34" s="175"/>
    </row>
    <row r="35" spans="1:11" ht="6.5" customHeight="1" x14ac:dyDescent="0.2">
      <c r="E35" s="170"/>
      <c r="F35" s="170"/>
      <c r="G35" s="170"/>
      <c r="H35" s="170"/>
      <c r="I35" s="170"/>
      <c r="J35" s="170"/>
      <c r="K35" s="170"/>
    </row>
    <row r="36" spans="1:11" ht="14.75" customHeight="1" x14ac:dyDescent="0.2">
      <c r="E36" s="175" t="s">
        <v>309</v>
      </c>
      <c r="F36" s="175"/>
      <c r="G36" s="175"/>
      <c r="H36" s="175"/>
      <c r="I36" s="175"/>
      <c r="J36" s="175"/>
      <c r="K36" s="175"/>
    </row>
    <row r="37" spans="1:11" x14ac:dyDescent="0.2">
      <c r="E37" s="175"/>
      <c r="F37" s="175"/>
      <c r="G37" s="175"/>
      <c r="H37" s="175"/>
      <c r="I37" s="175"/>
      <c r="J37" s="175"/>
      <c r="K37" s="175"/>
    </row>
    <row r="38" spans="1:11" x14ac:dyDescent="0.2">
      <c r="E38" s="175"/>
      <c r="F38" s="175"/>
      <c r="G38" s="175"/>
      <c r="H38" s="175"/>
      <c r="I38" s="175"/>
      <c r="J38" s="175"/>
      <c r="K38" s="175"/>
    </row>
    <row r="41" spans="1:11" ht="16" x14ac:dyDescent="0.2">
      <c r="A41" s="166"/>
    </row>
    <row r="42" spans="1:11" ht="16" x14ac:dyDescent="0.2">
      <c r="A42" s="166"/>
    </row>
    <row r="43" spans="1:11" ht="16" x14ac:dyDescent="0.2">
      <c r="A43" s="166"/>
    </row>
    <row r="44" spans="1:11" ht="16" x14ac:dyDescent="0.2">
      <c r="A44" s="166"/>
    </row>
    <row r="45" spans="1:11" ht="16" x14ac:dyDescent="0.2">
      <c r="A45" s="166"/>
    </row>
    <row r="46" spans="1:11" s="168" customFormat="1" ht="16" x14ac:dyDescent="0.2">
      <c r="A46" s="167"/>
    </row>
    <row r="47" spans="1:11" ht="16" x14ac:dyDescent="0.2">
      <c r="A47" s="166"/>
    </row>
    <row r="48" spans="1:11" ht="16" x14ac:dyDescent="0.2">
      <c r="A48" s="166"/>
    </row>
    <row r="49" spans="1:1" ht="16" x14ac:dyDescent="0.2">
      <c r="A49" s="166"/>
    </row>
  </sheetData>
  <sheetProtection algorithmName="SHA-512" hashValue="iqDRnvyfXj6I3h5ak3JXPCdXwKUMGCbj0BAyiZK8uvTaCpvInRVh/5/SJRog8ncTqaP6aRMF5iir92jXxWJZLg==" saltValue="junAxEN8T3L7eu4eVf0KCw==" spinCount="100000" sheet="1" formatColumns="0" formatRows="0" selectLockedCells="1"/>
  <mergeCells count="7">
    <mergeCell ref="E32:K34"/>
    <mergeCell ref="E36:K38"/>
    <mergeCell ref="E26:K26"/>
    <mergeCell ref="D8:K8"/>
    <mergeCell ref="B5:K7"/>
    <mergeCell ref="B14:K16"/>
    <mergeCell ref="E28:K30"/>
  </mergeCells>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5841" r:id="rId4" name="Group Box 1">
              <controlPr defaultSize="0" autoFill="0" autoPict="0">
                <anchor moveWithCells="1">
                  <from>
                    <xdr:col>0</xdr:col>
                    <xdr:colOff>558800</xdr:colOff>
                    <xdr:row>2</xdr:row>
                    <xdr:rowOff>127000</xdr:rowOff>
                  </from>
                  <to>
                    <xdr:col>10</xdr:col>
                    <xdr:colOff>1612900</xdr:colOff>
                    <xdr:row>10</xdr:row>
                    <xdr:rowOff>152400</xdr:rowOff>
                  </to>
                </anchor>
              </controlPr>
            </control>
          </mc:Choice>
        </mc:AlternateContent>
        <mc:AlternateContent xmlns:mc="http://schemas.openxmlformats.org/markup-compatibility/2006">
          <mc:Choice Requires="x14">
            <control shapeId="35842" r:id="rId5" name="Option Button 2">
              <controlPr defaultSize="0" autoFill="0" autoLine="0" autoPict="0">
                <anchor moveWithCells="1">
                  <from>
                    <xdr:col>1</xdr:col>
                    <xdr:colOff>12700</xdr:colOff>
                    <xdr:row>6</xdr:row>
                    <xdr:rowOff>165100</xdr:rowOff>
                  </from>
                  <to>
                    <xdr:col>2</xdr:col>
                    <xdr:colOff>876300</xdr:colOff>
                    <xdr:row>8</xdr:row>
                    <xdr:rowOff>12700</xdr:rowOff>
                  </to>
                </anchor>
              </controlPr>
            </control>
          </mc:Choice>
        </mc:AlternateContent>
        <mc:AlternateContent xmlns:mc="http://schemas.openxmlformats.org/markup-compatibility/2006">
          <mc:Choice Requires="x14">
            <control shapeId="35843" r:id="rId6" name="Option Button 3">
              <controlPr defaultSize="0" autoFill="0" autoLine="0" autoPict="0">
                <anchor moveWithCells="1">
                  <from>
                    <xdr:col>1</xdr:col>
                    <xdr:colOff>12700</xdr:colOff>
                    <xdr:row>9</xdr:row>
                    <xdr:rowOff>0</xdr:rowOff>
                  </from>
                  <to>
                    <xdr:col>2</xdr:col>
                    <xdr:colOff>876300</xdr:colOff>
                    <xdr:row>10</xdr:row>
                    <xdr:rowOff>25400</xdr:rowOff>
                  </to>
                </anchor>
              </controlPr>
            </control>
          </mc:Choice>
        </mc:AlternateContent>
        <mc:AlternateContent xmlns:mc="http://schemas.openxmlformats.org/markup-compatibility/2006">
          <mc:Choice Requires="x14">
            <control shapeId="35844" r:id="rId7" name="Group Box 4">
              <controlPr defaultSize="0" autoFill="0" autoPict="0">
                <anchor moveWithCells="1">
                  <from>
                    <xdr:col>0</xdr:col>
                    <xdr:colOff>558800</xdr:colOff>
                    <xdr:row>11</xdr:row>
                    <xdr:rowOff>127000</xdr:rowOff>
                  </from>
                  <to>
                    <xdr:col>10</xdr:col>
                    <xdr:colOff>1612900</xdr:colOff>
                    <xdr:row>22</xdr:row>
                    <xdr:rowOff>88900</xdr:rowOff>
                  </to>
                </anchor>
              </controlPr>
            </control>
          </mc:Choice>
        </mc:AlternateContent>
        <mc:AlternateContent xmlns:mc="http://schemas.openxmlformats.org/markup-compatibility/2006">
          <mc:Choice Requires="x14">
            <control shapeId="35845" r:id="rId8" name="Option Button 5">
              <controlPr defaultSize="0" autoFill="0" autoLine="0" autoPict="0">
                <anchor moveWithCells="1">
                  <from>
                    <xdr:col>1</xdr:col>
                    <xdr:colOff>0</xdr:colOff>
                    <xdr:row>15</xdr:row>
                    <xdr:rowOff>165100</xdr:rowOff>
                  </from>
                  <to>
                    <xdr:col>2</xdr:col>
                    <xdr:colOff>825500</xdr:colOff>
                    <xdr:row>17</xdr:row>
                    <xdr:rowOff>12700</xdr:rowOff>
                  </to>
                </anchor>
              </controlPr>
            </control>
          </mc:Choice>
        </mc:AlternateContent>
        <mc:AlternateContent xmlns:mc="http://schemas.openxmlformats.org/markup-compatibility/2006">
          <mc:Choice Requires="x14">
            <control shapeId="35846" r:id="rId9" name="Option Button 6">
              <controlPr defaultSize="0" autoFill="0" autoLine="0" autoPict="0">
                <anchor moveWithCells="1">
                  <from>
                    <xdr:col>1</xdr:col>
                    <xdr:colOff>0</xdr:colOff>
                    <xdr:row>17</xdr:row>
                    <xdr:rowOff>88900</xdr:rowOff>
                  </from>
                  <to>
                    <xdr:col>2</xdr:col>
                    <xdr:colOff>825500</xdr:colOff>
                    <xdr:row>19</xdr:row>
                    <xdr:rowOff>25400</xdr:rowOff>
                  </to>
                </anchor>
              </controlPr>
            </control>
          </mc:Choice>
        </mc:AlternateContent>
        <mc:AlternateContent xmlns:mc="http://schemas.openxmlformats.org/markup-compatibility/2006">
          <mc:Choice Requires="x14">
            <control shapeId="35847" r:id="rId10" name="Option Button 7">
              <controlPr defaultSize="0" autoFill="0" autoLine="0" autoPict="0">
                <anchor moveWithCells="1">
                  <from>
                    <xdr:col>1</xdr:col>
                    <xdr:colOff>0</xdr:colOff>
                    <xdr:row>19</xdr:row>
                    <xdr:rowOff>88900</xdr:rowOff>
                  </from>
                  <to>
                    <xdr:col>2</xdr:col>
                    <xdr:colOff>825500</xdr:colOff>
                    <xdr:row>21</xdr:row>
                    <xdr:rowOff>25400</xdr:rowOff>
                  </to>
                </anchor>
              </controlPr>
            </control>
          </mc:Choice>
        </mc:AlternateContent>
        <mc:AlternateContent xmlns:mc="http://schemas.openxmlformats.org/markup-compatibility/2006">
          <mc:Choice Requires="x14">
            <control shapeId="35848" r:id="rId11" name="Group Box 8">
              <controlPr defaultSize="0" autoFill="0" autoPict="0">
                <anchor moveWithCells="1">
                  <from>
                    <xdr:col>0</xdr:col>
                    <xdr:colOff>558800</xdr:colOff>
                    <xdr:row>23</xdr:row>
                    <xdr:rowOff>101600</xdr:rowOff>
                  </from>
                  <to>
                    <xdr:col>10</xdr:col>
                    <xdr:colOff>1600200</xdr:colOff>
                    <xdr:row>38</xdr:row>
                    <xdr:rowOff>152400</xdr:rowOff>
                  </to>
                </anchor>
              </controlPr>
            </control>
          </mc:Choice>
        </mc:AlternateContent>
        <mc:AlternateContent xmlns:mc="http://schemas.openxmlformats.org/markup-compatibility/2006">
          <mc:Choice Requires="x14">
            <control shapeId="35850" r:id="rId12" name="Option Button 10">
              <controlPr defaultSize="0" autoFill="0" autoLine="0" autoPict="0">
                <anchor moveWithCells="1">
                  <from>
                    <xdr:col>1</xdr:col>
                    <xdr:colOff>0</xdr:colOff>
                    <xdr:row>24</xdr:row>
                    <xdr:rowOff>177800</xdr:rowOff>
                  </from>
                  <to>
                    <xdr:col>2</xdr:col>
                    <xdr:colOff>939800</xdr:colOff>
                    <xdr:row>26</xdr:row>
                    <xdr:rowOff>12700</xdr:rowOff>
                  </to>
                </anchor>
              </controlPr>
            </control>
          </mc:Choice>
        </mc:AlternateContent>
        <mc:AlternateContent xmlns:mc="http://schemas.openxmlformats.org/markup-compatibility/2006">
          <mc:Choice Requires="x14">
            <control shapeId="35851" r:id="rId13" name="Option Button 11">
              <controlPr defaultSize="0" autoFill="0" autoLine="0" autoPict="0">
                <anchor moveWithCells="1">
                  <from>
                    <xdr:col>1</xdr:col>
                    <xdr:colOff>0</xdr:colOff>
                    <xdr:row>27</xdr:row>
                    <xdr:rowOff>0</xdr:rowOff>
                  </from>
                  <to>
                    <xdr:col>3</xdr:col>
                    <xdr:colOff>279400</xdr:colOff>
                    <xdr:row>28</xdr:row>
                    <xdr:rowOff>25400</xdr:rowOff>
                  </to>
                </anchor>
              </controlPr>
            </control>
          </mc:Choice>
        </mc:AlternateContent>
        <mc:AlternateContent xmlns:mc="http://schemas.openxmlformats.org/markup-compatibility/2006">
          <mc:Choice Requires="x14">
            <control shapeId="35852" r:id="rId14" name="Option Button 12">
              <controlPr defaultSize="0" autoFill="0" autoLine="0" autoPict="0">
                <anchor moveWithCells="1">
                  <from>
                    <xdr:col>1</xdr:col>
                    <xdr:colOff>0</xdr:colOff>
                    <xdr:row>31</xdr:row>
                    <xdr:rowOff>0</xdr:rowOff>
                  </from>
                  <to>
                    <xdr:col>3</xdr:col>
                    <xdr:colOff>482600</xdr:colOff>
                    <xdr:row>32</xdr:row>
                    <xdr:rowOff>25400</xdr:rowOff>
                  </to>
                </anchor>
              </controlPr>
            </control>
          </mc:Choice>
        </mc:AlternateContent>
        <mc:AlternateContent xmlns:mc="http://schemas.openxmlformats.org/markup-compatibility/2006">
          <mc:Choice Requires="x14">
            <control shapeId="35853" r:id="rId15" name="Option Button 13">
              <controlPr defaultSize="0" autoFill="0" autoLine="0" autoPict="0">
                <anchor moveWithCells="1">
                  <from>
                    <xdr:col>1</xdr:col>
                    <xdr:colOff>0</xdr:colOff>
                    <xdr:row>35</xdr:row>
                    <xdr:rowOff>0</xdr:rowOff>
                  </from>
                  <to>
                    <xdr:col>2</xdr:col>
                    <xdr:colOff>939800</xdr:colOff>
                    <xdr:row>36</xdr:row>
                    <xdr:rowOff>25400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P38"/>
  <sheetViews>
    <sheetView topLeftCell="A3" zoomScaleNormal="100" workbookViewId="0">
      <selection activeCell="L19" sqref="L19"/>
    </sheetView>
  </sheetViews>
  <sheetFormatPr baseColWidth="10" defaultColWidth="8.83203125" defaultRowHeight="15" x14ac:dyDescent="0.2"/>
  <cols>
    <col min="1" max="1" width="8.83203125" style="1"/>
    <col min="2" max="2" width="11.5" style="1" customWidth="1"/>
    <col min="3" max="3" width="8.83203125" style="1"/>
    <col min="4" max="4" width="11.1640625" style="1" customWidth="1"/>
    <col min="5" max="5" width="8.83203125" style="1"/>
    <col min="6" max="6" width="10.83203125" style="1" customWidth="1"/>
    <col min="7" max="7" width="8.83203125" style="1"/>
    <col min="8" max="8" width="11.5" style="1" customWidth="1"/>
    <col min="9" max="16384" width="8.83203125" style="1"/>
  </cols>
  <sheetData>
    <row r="1" spans="2:16" ht="74.5" customHeight="1" x14ac:dyDescent="0.2"/>
    <row r="2" spans="2:16" ht="14.75" customHeight="1" x14ac:dyDescent="0.2">
      <c r="B2" s="183" t="str">
        <f>"Now that you have made all necessary decisions in regards to setting up and equipping your business, the total capital, which you will need to raise is $"&amp;TEXT('(HIDE) Data Validation'!D18,"#,##0;;@")&amp;". As a MINIMUM, this is the estimated amount required to ensure you do not go into deficit in the Preliminary Cash Budget. Please organise your financing from the options below"</f>
        <v>Now that you have made all necessary decisions in regards to setting up and equipping your business, the total capital, which you will need to raise is $284,832. As a MINIMUM, this is the estimated amount required to ensure you do not go into deficit in the Preliminary Cash Budget. Please organise your financing from the options below</v>
      </c>
      <c r="C2" s="183"/>
      <c r="D2" s="183"/>
      <c r="E2" s="183"/>
      <c r="F2" s="183"/>
      <c r="G2" s="183"/>
      <c r="H2" s="183"/>
      <c r="I2" s="183"/>
      <c r="J2" s="183"/>
      <c r="K2" s="183"/>
      <c r="L2" s="183"/>
      <c r="M2" s="183"/>
      <c r="N2" s="183"/>
    </row>
    <row r="3" spans="2:16" ht="51.5" customHeight="1" x14ac:dyDescent="0.2">
      <c r="B3" s="183"/>
      <c r="C3" s="183"/>
      <c r="D3" s="183"/>
      <c r="E3" s="183"/>
      <c r="F3" s="183"/>
      <c r="G3" s="183"/>
      <c r="H3" s="183"/>
      <c r="I3" s="183"/>
      <c r="J3" s="183"/>
      <c r="K3" s="183"/>
      <c r="L3" s="183"/>
      <c r="M3" s="183"/>
      <c r="N3" s="183"/>
    </row>
    <row r="4" spans="2:16" ht="53.5" customHeight="1" x14ac:dyDescent="0.2"/>
    <row r="5" spans="2:16" x14ac:dyDescent="0.2">
      <c r="B5" s="5" t="s">
        <v>163</v>
      </c>
      <c r="D5" s="1" t="s">
        <v>509</v>
      </c>
    </row>
    <row r="6" spans="2:16" ht="6.5" customHeight="1" thickBot="1" x14ac:dyDescent="0.25"/>
    <row r="7" spans="2:16" ht="16" thickBot="1" x14ac:dyDescent="0.25">
      <c r="B7" s="141">
        <f>'(HIDE) Data Validation'!C18</f>
        <v>150000</v>
      </c>
    </row>
    <row r="9" spans="2:16" ht="16" thickBot="1" x14ac:dyDescent="0.25">
      <c r="B9" s="5" t="s">
        <v>165</v>
      </c>
    </row>
    <row r="10" spans="2:16" ht="18.5" customHeight="1" x14ac:dyDescent="0.2">
      <c r="C10" s="1" t="s">
        <v>187</v>
      </c>
      <c r="K10" s="195" t="str">
        <f>"You still need to raise $"&amp;TEXT('(HIDE) Data Validation'!B25,"#,##0;;@")</f>
        <v>You still need to raise $0</v>
      </c>
      <c r="L10" s="196"/>
      <c r="M10" s="196"/>
      <c r="N10" s="196"/>
      <c r="O10" s="196"/>
      <c r="P10" s="197"/>
    </row>
    <row r="11" spans="2:16" ht="6.5" customHeight="1" thickBot="1" x14ac:dyDescent="0.25">
      <c r="K11" s="198"/>
      <c r="L11" s="199"/>
      <c r="M11" s="199"/>
      <c r="N11" s="199"/>
      <c r="O11" s="199"/>
      <c r="P11" s="200"/>
    </row>
    <row r="12" spans="2:16" ht="15.25" customHeight="1" thickBot="1" x14ac:dyDescent="0.25">
      <c r="B12" s="141">
        <f>'(HIDE) Data Validation'!C19</f>
        <v>142000</v>
      </c>
      <c r="G12" s="1" t="str">
        <f>"Yearly Interest will be $"&amp;TEXT('(HIDE) Data Validation'!B23,"#,##0;;@")</f>
        <v>Yearly Interest will be $7,100</v>
      </c>
      <c r="K12" s="201"/>
      <c r="L12" s="202"/>
      <c r="M12" s="202"/>
      <c r="N12" s="202"/>
      <c r="O12" s="202"/>
      <c r="P12" s="203"/>
    </row>
    <row r="14" spans="2:16" x14ac:dyDescent="0.2">
      <c r="C14" s="1" t="str">
        <f>"Term of the loan. Interest rate will be "&amp;'(HIDE) Data Validation'!B28&amp;"% p.a."</f>
        <v>Term of the loan. Interest rate will be 5% p.a.</v>
      </c>
    </row>
    <row r="15" spans="2:16" ht="5.75" customHeight="1" thickBot="1" x14ac:dyDescent="0.25"/>
    <row r="16" spans="2:16" ht="16" thickBot="1" x14ac:dyDescent="0.25">
      <c r="B16" s="141" t="str">
        <f>'(HIDE) Data Validation'!B27&amp;" years"</f>
        <v>5 years</v>
      </c>
      <c r="G16" s="3" t="str">
        <f>"Monthly Repayments will be $"&amp;TEXT('(HIDE) Data Validation'!B30,"#,###.##;;@")</f>
        <v>Monthly Repayments will be $2,679.72</v>
      </c>
    </row>
    <row r="17" spans="1:12" x14ac:dyDescent="0.2">
      <c r="G17" s="3" t="str">
        <f>"Total Repayments will be $"&amp;TEXT('(HIDE) Data Validation'!B33,"#,##0;;@")</f>
        <v>Total Repayments will be $160,783</v>
      </c>
    </row>
    <row r="19" spans="1:12" x14ac:dyDescent="0.2">
      <c r="B19" s="5" t="s">
        <v>175</v>
      </c>
      <c r="D19" s="1" t="s">
        <v>174</v>
      </c>
      <c r="L19" s="154"/>
    </row>
    <row r="20" spans="1:12" ht="7" customHeight="1" thickBot="1" x14ac:dyDescent="0.25"/>
    <row r="21" spans="1:12" ht="16" thickBot="1" x14ac:dyDescent="0.25">
      <c r="B21" s="141">
        <f>'(HIDE) Data Validation'!C20</f>
        <v>0</v>
      </c>
      <c r="G21" s="1" t="str">
        <f>'(HIDE) Data Validation'!B22&amp;"% of profits will go to investors"</f>
        <v>0% of profits will go to investors</v>
      </c>
    </row>
    <row r="22" spans="1:12" x14ac:dyDescent="0.2">
      <c r="G22" s="1" t="str">
        <f>'(HIDE) Data Validation'!C22&amp;"% of profits will go to you"</f>
        <v>100% of profits will go to you</v>
      </c>
    </row>
    <row r="25" spans="1:12" x14ac:dyDescent="0.2">
      <c r="B25" s="5" t="s">
        <v>237</v>
      </c>
    </row>
    <row r="26" spans="1:12" x14ac:dyDescent="0.2">
      <c r="B26" s="6" t="s">
        <v>218</v>
      </c>
      <c r="C26" s="1" t="str">
        <f>IF('Business Setup'!F3="","Your company",'Business Setup'!F3)&amp;" will keep approximately 7 days of inventory on hand at all times"</f>
        <v>Insight-FULL Pizza will keep approximately 7 days of inventory on hand at all times</v>
      </c>
    </row>
    <row r="27" spans="1:12" x14ac:dyDescent="0.2">
      <c r="B27" s="6" t="s">
        <v>218</v>
      </c>
      <c r="C27" s="1" t="s">
        <v>236</v>
      </c>
    </row>
    <row r="28" spans="1:12" x14ac:dyDescent="0.2">
      <c r="B28" s="6" t="s">
        <v>218</v>
      </c>
      <c r="C28" s="1" t="s">
        <v>338</v>
      </c>
    </row>
    <row r="30" spans="1:12" ht="16" x14ac:dyDescent="0.2">
      <c r="A30" s="166"/>
    </row>
    <row r="31" spans="1:12" ht="16" x14ac:dyDescent="0.2">
      <c r="A31" s="166"/>
    </row>
    <row r="32" spans="1:12" ht="16" x14ac:dyDescent="0.2">
      <c r="A32" s="166"/>
    </row>
    <row r="33" spans="1:1" ht="16" x14ac:dyDescent="0.2">
      <c r="A33" s="166"/>
    </row>
    <row r="34" spans="1:1" ht="16" x14ac:dyDescent="0.2">
      <c r="A34" s="166"/>
    </row>
    <row r="35" spans="1:1" s="168" customFormat="1" ht="16" x14ac:dyDescent="0.2">
      <c r="A35" s="167"/>
    </row>
    <row r="36" spans="1:1" ht="16" x14ac:dyDescent="0.2">
      <c r="A36" s="166"/>
    </row>
    <row r="37" spans="1:1" ht="16" x14ac:dyDescent="0.2">
      <c r="A37" s="166"/>
    </row>
    <row r="38" spans="1:1" ht="16" x14ac:dyDescent="0.2">
      <c r="A38" s="166"/>
    </row>
  </sheetData>
  <sheetProtection algorithmName="SHA-512" hashValue="DivFNvfGWVXj9MCwbgA21eC0RpiE3vPMkmp3Wtwk9Ph+UOC4UOndbJYp5bU3B2Vq1DZpI3ADePJRZ1KVGknABw==" saltValue="1txhu+6fV5ZVul387c4htg==" spinCount="100000" sheet="1" formatColumns="0" formatRows="0" selectLockedCells="1"/>
  <mergeCells count="2">
    <mergeCell ref="B2:N3"/>
    <mergeCell ref="K10:P12"/>
  </mergeCells>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5373" r:id="rId4" name="Scroll Bar 13">
              <controlPr defaultSize="0" autoPict="0">
                <anchor moveWithCells="1">
                  <from>
                    <xdr:col>2</xdr:col>
                    <xdr:colOff>76200</xdr:colOff>
                    <xdr:row>6</xdr:row>
                    <xdr:rowOff>12700</xdr:rowOff>
                  </from>
                  <to>
                    <xdr:col>5</xdr:col>
                    <xdr:colOff>304800</xdr:colOff>
                    <xdr:row>7</xdr:row>
                    <xdr:rowOff>0</xdr:rowOff>
                  </to>
                </anchor>
              </controlPr>
            </control>
          </mc:Choice>
        </mc:AlternateContent>
        <mc:AlternateContent xmlns:mc="http://schemas.openxmlformats.org/markup-compatibility/2006">
          <mc:Choice Requires="x14">
            <control shapeId="15374" r:id="rId5" name="Scroll Bar 14">
              <controlPr defaultSize="0" autoPict="0">
                <anchor moveWithCells="1">
                  <from>
                    <xdr:col>2</xdr:col>
                    <xdr:colOff>76200</xdr:colOff>
                    <xdr:row>11</xdr:row>
                    <xdr:rowOff>12700</xdr:rowOff>
                  </from>
                  <to>
                    <xdr:col>5</xdr:col>
                    <xdr:colOff>304800</xdr:colOff>
                    <xdr:row>12</xdr:row>
                    <xdr:rowOff>0</xdr:rowOff>
                  </to>
                </anchor>
              </controlPr>
            </control>
          </mc:Choice>
        </mc:AlternateContent>
        <mc:AlternateContent xmlns:mc="http://schemas.openxmlformats.org/markup-compatibility/2006">
          <mc:Choice Requires="x14">
            <control shapeId="15375" r:id="rId6" name="Scroll Bar 15">
              <controlPr defaultSize="0" autoPict="0">
                <anchor moveWithCells="1">
                  <from>
                    <xdr:col>2</xdr:col>
                    <xdr:colOff>50800</xdr:colOff>
                    <xdr:row>20</xdr:row>
                    <xdr:rowOff>12700</xdr:rowOff>
                  </from>
                  <to>
                    <xdr:col>5</xdr:col>
                    <xdr:colOff>279400</xdr:colOff>
                    <xdr:row>20</xdr:row>
                    <xdr:rowOff>177800</xdr:rowOff>
                  </to>
                </anchor>
              </controlPr>
            </control>
          </mc:Choice>
        </mc:AlternateContent>
        <mc:AlternateContent xmlns:mc="http://schemas.openxmlformats.org/markup-compatibility/2006">
          <mc:Choice Requires="x14">
            <control shapeId="15376" r:id="rId7" name="Scroll Bar 16">
              <controlPr defaultSize="0" autoPict="0">
                <anchor moveWithCells="1">
                  <from>
                    <xdr:col>2</xdr:col>
                    <xdr:colOff>76200</xdr:colOff>
                    <xdr:row>15</xdr:row>
                    <xdr:rowOff>12700</xdr:rowOff>
                  </from>
                  <to>
                    <xdr:col>5</xdr:col>
                    <xdr:colOff>304800</xdr:colOff>
                    <xdr:row>16</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O46"/>
  <sheetViews>
    <sheetView zoomScale="85" zoomScaleNormal="85" workbookViewId="0">
      <selection activeCell="K6" sqref="K6"/>
    </sheetView>
  </sheetViews>
  <sheetFormatPr baseColWidth="10" defaultColWidth="8.83203125" defaultRowHeight="15" x14ac:dyDescent="0.2"/>
  <cols>
    <col min="1" max="1" width="4.1640625" style="1" customWidth="1"/>
    <col min="2" max="2" width="48.5" style="1" customWidth="1"/>
    <col min="3" max="9" width="15.5" style="1" customWidth="1"/>
    <col min="10" max="14" width="14.5" style="1" customWidth="1"/>
    <col min="15" max="15" width="14.5" style="5" customWidth="1"/>
    <col min="16" max="16384" width="8.83203125" style="1"/>
  </cols>
  <sheetData>
    <row r="1" spans="2:15" ht="19" x14ac:dyDescent="0.25">
      <c r="B1" s="204" t="str">
        <f>IF('Business Setup'!F3="","UNNAMED",'Business Setup'!F3)</f>
        <v>Insight-FULL Pizza</v>
      </c>
      <c r="C1" s="204"/>
      <c r="D1" s="204"/>
      <c r="E1" s="204"/>
      <c r="F1" s="204"/>
      <c r="G1" s="204"/>
      <c r="H1" s="204"/>
      <c r="I1" s="204"/>
      <c r="O1" s="1"/>
    </row>
    <row r="2" spans="2:15" ht="19" x14ac:dyDescent="0.25">
      <c r="B2" s="204" t="s">
        <v>0</v>
      </c>
      <c r="C2" s="204"/>
      <c r="D2" s="204"/>
      <c r="E2" s="204"/>
      <c r="F2" s="204"/>
      <c r="G2" s="204"/>
      <c r="H2" s="204"/>
      <c r="I2" s="204"/>
      <c r="O2" s="1"/>
    </row>
    <row r="3" spans="2:15" ht="19" x14ac:dyDescent="0.25">
      <c r="B3" s="204" t="s">
        <v>347</v>
      </c>
      <c r="C3" s="204"/>
      <c r="D3" s="204"/>
      <c r="E3" s="204"/>
      <c r="F3" s="204"/>
      <c r="G3" s="204"/>
      <c r="H3" s="204"/>
      <c r="I3" s="204"/>
      <c r="O3" s="1"/>
    </row>
    <row r="4" spans="2:15" x14ac:dyDescent="0.2">
      <c r="B4" s="191"/>
      <c r="C4" s="191"/>
      <c r="D4" s="191"/>
      <c r="E4" s="191"/>
      <c r="F4" s="191"/>
      <c r="G4" s="191"/>
      <c r="H4" s="191"/>
      <c r="O4" s="1"/>
    </row>
    <row r="5" spans="2:15" ht="16" x14ac:dyDescent="0.2">
      <c r="C5" s="24" t="s">
        <v>1</v>
      </c>
      <c r="D5" s="24" t="s">
        <v>2</v>
      </c>
      <c r="E5" s="24" t="s">
        <v>3</v>
      </c>
      <c r="F5" s="24" t="s">
        <v>4</v>
      </c>
      <c r="G5" s="24" t="s">
        <v>5</v>
      </c>
      <c r="H5" s="24" t="s">
        <v>6</v>
      </c>
      <c r="I5" s="25" t="s">
        <v>227</v>
      </c>
      <c r="J5" s="12"/>
      <c r="K5" s="12"/>
      <c r="L5" s="12"/>
      <c r="M5" s="12"/>
      <c r="N5" s="12"/>
      <c r="O5" s="15"/>
    </row>
    <row r="6" spans="2:15" ht="16" x14ac:dyDescent="0.2">
      <c r="B6" s="101" t="s">
        <v>13</v>
      </c>
      <c r="C6" s="106" t="s">
        <v>40</v>
      </c>
      <c r="D6" s="106" t="s">
        <v>40</v>
      </c>
      <c r="E6" s="106" t="s">
        <v>40</v>
      </c>
      <c r="F6" s="106" t="s">
        <v>40</v>
      </c>
      <c r="G6" s="106" t="s">
        <v>40</v>
      </c>
      <c r="H6" s="106" t="s">
        <v>40</v>
      </c>
      <c r="I6" s="106" t="s">
        <v>40</v>
      </c>
      <c r="K6" s="154"/>
    </row>
    <row r="7" spans="2:15" x14ac:dyDescent="0.2">
      <c r="B7" s="20" t="s">
        <v>165</v>
      </c>
      <c r="C7" s="103">
        <f>'(HIDE) Data Validation'!C19</f>
        <v>142000</v>
      </c>
      <c r="D7" s="103"/>
      <c r="E7" s="103"/>
      <c r="F7" s="103"/>
      <c r="G7" s="103"/>
      <c r="H7" s="103"/>
      <c r="I7" s="103">
        <f>SUM(C7:H7)</f>
        <v>142000</v>
      </c>
      <c r="J7" s="16"/>
      <c r="K7" s="16"/>
      <c r="L7" s="16"/>
      <c r="M7" s="16"/>
      <c r="N7" s="16"/>
      <c r="O7" s="17"/>
    </row>
    <row r="8" spans="2:15" x14ac:dyDescent="0.2">
      <c r="B8" s="96" t="s">
        <v>175</v>
      </c>
      <c r="C8" s="107">
        <f>'(HIDE) Data Validation'!C20</f>
        <v>0</v>
      </c>
      <c r="D8" s="107"/>
      <c r="E8" s="107"/>
      <c r="F8" s="107"/>
      <c r="G8" s="107"/>
      <c r="H8" s="107"/>
      <c r="I8" s="107">
        <f>SUM(C8:H8)</f>
        <v>0</v>
      </c>
      <c r="J8" s="16"/>
      <c r="K8" s="16"/>
      <c r="L8" s="16"/>
      <c r="M8" s="16"/>
      <c r="N8" s="16"/>
      <c r="O8" s="17"/>
    </row>
    <row r="9" spans="2:15" x14ac:dyDescent="0.2">
      <c r="B9" s="20" t="s">
        <v>238</v>
      </c>
      <c r="C9" s="103">
        <f>'(HIDE) Data Validation'!M41</f>
        <v>33263.299999999996</v>
      </c>
      <c r="D9" s="103">
        <f>'(HIDE) Data Validation'!N41</f>
        <v>49808.5</v>
      </c>
      <c r="E9" s="103">
        <f>'(HIDE) Data Validation'!O41</f>
        <v>59504.2</v>
      </c>
      <c r="F9" s="103">
        <f>'(HIDE) Data Validation'!P41</f>
        <v>74573.099999999991</v>
      </c>
      <c r="G9" s="103">
        <f>'(HIDE) Data Validation'!Q41</f>
        <v>80345.299999999988</v>
      </c>
      <c r="H9" s="103">
        <f>'(HIDE) Data Validation'!R41</f>
        <v>96691</v>
      </c>
      <c r="I9" s="103">
        <f>SUM(C9:H9)</f>
        <v>394185.39999999997</v>
      </c>
      <c r="J9" s="16"/>
      <c r="K9" s="16"/>
      <c r="L9" s="16"/>
      <c r="M9" s="16"/>
      <c r="N9" s="16"/>
      <c r="O9" s="17"/>
    </row>
    <row r="10" spans="2:15" x14ac:dyDescent="0.2">
      <c r="B10" s="96" t="s">
        <v>239</v>
      </c>
      <c r="C10" s="107">
        <f>'(HIDE) Data Validation'!M42</f>
        <v>0</v>
      </c>
      <c r="D10" s="107">
        <f>'(HIDE) Data Validation'!N42</f>
        <v>14255.699999999999</v>
      </c>
      <c r="E10" s="107">
        <f>'(HIDE) Data Validation'!O42</f>
        <v>21346.5</v>
      </c>
      <c r="F10" s="107">
        <f>'(HIDE) Data Validation'!P42</f>
        <v>25501.8</v>
      </c>
      <c r="G10" s="107">
        <f>'(HIDE) Data Validation'!Q42</f>
        <v>31959.899999999998</v>
      </c>
      <c r="H10" s="107">
        <f>'(HIDE) Data Validation'!R42</f>
        <v>34433.699999999997</v>
      </c>
      <c r="I10" s="107">
        <f>SUM(C10:H10)</f>
        <v>127497.59999999999</v>
      </c>
      <c r="J10" s="16"/>
      <c r="K10" s="16"/>
      <c r="L10" s="16"/>
      <c r="M10" s="16"/>
      <c r="N10" s="16"/>
      <c r="O10" s="17"/>
    </row>
    <row r="11" spans="2:15" s="5" customFormat="1" ht="16" x14ac:dyDescent="0.2">
      <c r="B11" s="21" t="s">
        <v>15</v>
      </c>
      <c r="C11" s="104">
        <f t="shared" ref="C11:H11" si="0">SUM(C7:C10)</f>
        <v>175263.3</v>
      </c>
      <c r="D11" s="104">
        <f t="shared" si="0"/>
        <v>64064.2</v>
      </c>
      <c r="E11" s="104">
        <f t="shared" si="0"/>
        <v>80850.7</v>
      </c>
      <c r="F11" s="104">
        <f t="shared" si="0"/>
        <v>100074.9</v>
      </c>
      <c r="G11" s="104">
        <f t="shared" si="0"/>
        <v>112305.19999999998</v>
      </c>
      <c r="H11" s="104">
        <f t="shared" si="0"/>
        <v>131124.70000000001</v>
      </c>
      <c r="I11" s="104">
        <f t="shared" ref="I11:I29" si="1">SUM(C11:H11)</f>
        <v>663683</v>
      </c>
      <c r="J11" s="17"/>
      <c r="K11" s="17"/>
      <c r="L11" s="17"/>
      <c r="M11" s="17"/>
      <c r="N11" s="17"/>
      <c r="O11" s="17"/>
    </row>
    <row r="12" spans="2:15" x14ac:dyDescent="0.2">
      <c r="B12" s="102"/>
      <c r="C12" s="107"/>
      <c r="D12" s="107"/>
      <c r="E12" s="107"/>
      <c r="F12" s="107"/>
      <c r="G12" s="107"/>
      <c r="H12" s="107"/>
      <c r="I12" s="107"/>
      <c r="J12" s="16"/>
      <c r="K12" s="16"/>
      <c r="L12" s="16"/>
      <c r="M12" s="16"/>
      <c r="N12" s="16"/>
      <c r="O12" s="17"/>
    </row>
    <row r="13" spans="2:15" ht="16" x14ac:dyDescent="0.2">
      <c r="B13" s="21" t="s">
        <v>16</v>
      </c>
      <c r="C13" s="103"/>
      <c r="D13" s="103"/>
      <c r="E13" s="103"/>
      <c r="F13" s="103"/>
      <c r="G13" s="103"/>
      <c r="H13" s="103"/>
      <c r="I13" s="103"/>
      <c r="J13" s="16"/>
      <c r="K13" s="16"/>
      <c r="L13" s="16"/>
      <c r="M13" s="16"/>
      <c r="N13" s="16"/>
      <c r="O13" s="17"/>
    </row>
    <row r="14" spans="2:15" x14ac:dyDescent="0.2">
      <c r="B14" s="96" t="s">
        <v>113</v>
      </c>
      <c r="C14" s="107">
        <f>'(HIDE) Data Validation'!B12</f>
        <v>120000</v>
      </c>
      <c r="D14" s="107"/>
      <c r="E14" s="107"/>
      <c r="F14" s="107"/>
      <c r="G14" s="107"/>
      <c r="H14" s="107"/>
      <c r="I14" s="107">
        <f t="shared" si="1"/>
        <v>120000</v>
      </c>
      <c r="J14" s="16"/>
      <c r="K14" s="16"/>
      <c r="L14" s="16"/>
      <c r="M14" s="16"/>
      <c r="N14" s="16"/>
      <c r="O14" s="17"/>
    </row>
    <row r="15" spans="2:15" x14ac:dyDescent="0.2">
      <c r="B15" s="20" t="s">
        <v>293</v>
      </c>
      <c r="C15" s="103">
        <f>'(HIDE) Data Validation'!M18</f>
        <v>23005.514250000004</v>
      </c>
      <c r="D15" s="103">
        <f>'(HIDE) Data Validation'!N18</f>
        <v>26285.084250000004</v>
      </c>
      <c r="E15" s="103">
        <f>'(HIDE) Data Validation'!O18</f>
        <v>31840.274250000002</v>
      </c>
      <c r="F15" s="103">
        <f>'(HIDE) Data Validation'!P18</f>
        <v>38253.841500000002</v>
      </c>
      <c r="G15" s="103">
        <f>'(HIDE) Data Validation'!Q18</f>
        <v>42488.837249999997</v>
      </c>
      <c r="H15" s="103">
        <f>'(HIDE) Data Validation'!R18</f>
        <v>48323.460000000006</v>
      </c>
      <c r="I15" s="103">
        <f t="shared" si="1"/>
        <v>210197.01150000002</v>
      </c>
      <c r="J15" s="16"/>
      <c r="K15" s="16"/>
      <c r="L15" s="16"/>
      <c r="M15" s="16"/>
      <c r="N15" s="16"/>
      <c r="O15" s="17"/>
    </row>
    <row r="16" spans="2:15" x14ac:dyDescent="0.2">
      <c r="B16" s="96" t="s">
        <v>335</v>
      </c>
      <c r="C16" s="107">
        <f>'(HIDE) Data Validation'!M66</f>
        <v>190</v>
      </c>
      <c r="D16" s="107">
        <f>'(HIDE) Data Validation'!N66</f>
        <v>285</v>
      </c>
      <c r="E16" s="107">
        <f>'(HIDE) Data Validation'!O66</f>
        <v>340</v>
      </c>
      <c r="F16" s="107">
        <f>'(HIDE) Data Validation'!P66</f>
        <v>426</v>
      </c>
      <c r="G16" s="107">
        <f>'(HIDE) Data Validation'!Q66</f>
        <v>459</v>
      </c>
      <c r="H16" s="107">
        <f>'(HIDE) Data Validation'!R66</f>
        <v>553</v>
      </c>
      <c r="I16" s="107">
        <f t="shared" si="1"/>
        <v>2253</v>
      </c>
      <c r="J16" s="16"/>
      <c r="K16" s="16"/>
      <c r="L16" s="16"/>
      <c r="M16" s="16"/>
      <c r="N16" s="16"/>
      <c r="O16" s="17"/>
    </row>
    <row r="17" spans="2:15" x14ac:dyDescent="0.2">
      <c r="B17" s="20" t="s">
        <v>17</v>
      </c>
      <c r="C17" s="103">
        <f>'(HIDE) Data Validation'!$G$12</f>
        <v>7000</v>
      </c>
      <c r="D17" s="103">
        <f>'(HIDE) Data Validation'!$G$12</f>
        <v>7000</v>
      </c>
      <c r="E17" s="103">
        <f>'(HIDE) Data Validation'!$G$12</f>
        <v>7000</v>
      </c>
      <c r="F17" s="103">
        <f>'(HIDE) Data Validation'!$G$12</f>
        <v>7000</v>
      </c>
      <c r="G17" s="103">
        <f>'(HIDE) Data Validation'!$G$12</f>
        <v>7000</v>
      </c>
      <c r="H17" s="103">
        <f>'(HIDE) Data Validation'!$G$12</f>
        <v>7000</v>
      </c>
      <c r="I17" s="103">
        <f t="shared" si="1"/>
        <v>42000</v>
      </c>
      <c r="J17" s="16"/>
      <c r="K17" s="16"/>
      <c r="L17" s="16"/>
      <c r="M17" s="16"/>
      <c r="N17" s="16"/>
      <c r="O17" s="17"/>
    </row>
    <row r="18" spans="2:15" x14ac:dyDescent="0.2">
      <c r="B18" s="96" t="s">
        <v>18</v>
      </c>
      <c r="C18" s="107">
        <f>'(HIDE) Data Validation'!M23</f>
        <v>0</v>
      </c>
      <c r="D18" s="107">
        <f>'(HIDE) Data Validation'!N23</f>
        <v>2100</v>
      </c>
      <c r="E18" s="107">
        <f>'(HIDE) Data Validation'!O23</f>
        <v>2100</v>
      </c>
      <c r="F18" s="107">
        <f>'(HIDE) Data Validation'!P23</f>
        <v>2100</v>
      </c>
      <c r="G18" s="107">
        <f>'(HIDE) Data Validation'!Q23</f>
        <v>2100</v>
      </c>
      <c r="H18" s="107">
        <f>'(HIDE) Data Validation'!R23</f>
        <v>2100</v>
      </c>
      <c r="I18" s="107">
        <f t="shared" si="1"/>
        <v>10500</v>
      </c>
      <c r="J18" s="16"/>
      <c r="K18" s="16"/>
      <c r="L18" s="16"/>
      <c r="M18" s="16"/>
      <c r="N18" s="16"/>
      <c r="O18" s="17"/>
    </row>
    <row r="19" spans="2:15" x14ac:dyDescent="0.2">
      <c r="B19" s="20" t="s">
        <v>19</v>
      </c>
      <c r="C19" s="103">
        <v>300</v>
      </c>
      <c r="D19" s="103">
        <v>300</v>
      </c>
      <c r="E19" s="103">
        <v>300</v>
      </c>
      <c r="F19" s="103">
        <v>300</v>
      </c>
      <c r="G19" s="103">
        <v>300</v>
      </c>
      <c r="H19" s="103">
        <v>300</v>
      </c>
      <c r="I19" s="103">
        <f t="shared" si="1"/>
        <v>1800</v>
      </c>
      <c r="J19" s="16"/>
      <c r="K19" s="16"/>
      <c r="L19" s="16"/>
      <c r="M19" s="16"/>
      <c r="N19" s="16"/>
      <c r="O19" s="17"/>
    </row>
    <row r="20" spans="2:15" x14ac:dyDescent="0.2">
      <c r="B20" s="96" t="s">
        <v>29</v>
      </c>
      <c r="C20" s="107">
        <f>'(HIDE) Data Validation'!$I$2</f>
        <v>5000</v>
      </c>
      <c r="D20" s="107">
        <f>'(HIDE) Data Validation'!$I$2</f>
        <v>5000</v>
      </c>
      <c r="E20" s="107">
        <f>'(HIDE) Data Validation'!$I$2</f>
        <v>5000</v>
      </c>
      <c r="F20" s="107">
        <f>'(HIDE) Data Validation'!$I$2</f>
        <v>5000</v>
      </c>
      <c r="G20" s="107">
        <f>'(HIDE) Data Validation'!$I$2</f>
        <v>5000</v>
      </c>
      <c r="H20" s="107">
        <f>'(HIDE) Data Validation'!$I$2</f>
        <v>5000</v>
      </c>
      <c r="I20" s="107">
        <f t="shared" si="1"/>
        <v>30000</v>
      </c>
      <c r="J20" s="16"/>
      <c r="K20" s="16"/>
      <c r="L20" s="16"/>
      <c r="M20" s="16"/>
      <c r="N20" s="16"/>
      <c r="O20" s="17"/>
    </row>
    <row r="21" spans="2:15" x14ac:dyDescent="0.2">
      <c r="B21" s="20" t="s">
        <v>247</v>
      </c>
      <c r="C21" s="103">
        <v>6800</v>
      </c>
      <c r="D21" s="103">
        <v>6800</v>
      </c>
      <c r="E21" s="103">
        <v>6800</v>
      </c>
      <c r="F21" s="103">
        <v>6800</v>
      </c>
      <c r="G21" s="103">
        <v>6800</v>
      </c>
      <c r="H21" s="103">
        <v>6800</v>
      </c>
      <c r="I21" s="103">
        <f t="shared" si="1"/>
        <v>40800</v>
      </c>
      <c r="J21" s="16"/>
      <c r="K21" s="16"/>
      <c r="L21" s="16"/>
      <c r="M21" s="16"/>
      <c r="N21" s="16"/>
      <c r="O21" s="17"/>
    </row>
    <row r="22" spans="2:15" x14ac:dyDescent="0.2">
      <c r="B22" s="96" t="s">
        <v>21</v>
      </c>
      <c r="C22" s="107">
        <f>'(HIDE) Data Validation'!M16</f>
        <v>12800</v>
      </c>
      <c r="D22" s="107">
        <f>'(HIDE) Data Validation'!N16</f>
        <v>16000</v>
      </c>
      <c r="E22" s="107">
        <f>'(HIDE) Data Validation'!O16</f>
        <v>16000</v>
      </c>
      <c r="F22" s="107">
        <f>'(HIDE) Data Validation'!P16</f>
        <v>16000</v>
      </c>
      <c r="G22" s="107">
        <f>'(HIDE) Data Validation'!Q16</f>
        <v>19200</v>
      </c>
      <c r="H22" s="107">
        <f>'(HIDE) Data Validation'!R16</f>
        <v>19200</v>
      </c>
      <c r="I22" s="107">
        <f t="shared" si="1"/>
        <v>99200</v>
      </c>
      <c r="J22" s="16"/>
      <c r="K22" s="16"/>
      <c r="L22" s="16"/>
      <c r="M22" s="16"/>
      <c r="N22" s="16"/>
      <c r="O22" s="17"/>
    </row>
    <row r="23" spans="2:15" x14ac:dyDescent="0.2">
      <c r="B23" s="20" t="s">
        <v>22</v>
      </c>
      <c r="C23" s="103">
        <f>'(HIDE) Data Validation'!$B$30</f>
        <v>2679.72</v>
      </c>
      <c r="D23" s="103">
        <f>'(HIDE) Data Validation'!$B$30</f>
        <v>2679.72</v>
      </c>
      <c r="E23" s="103">
        <f>'(HIDE) Data Validation'!$B$30</f>
        <v>2679.72</v>
      </c>
      <c r="F23" s="103">
        <f>'(HIDE) Data Validation'!$B$30</f>
        <v>2679.72</v>
      </c>
      <c r="G23" s="103">
        <f>'(HIDE) Data Validation'!$B$30</f>
        <v>2679.72</v>
      </c>
      <c r="H23" s="103">
        <f>'(HIDE) Data Validation'!$B$30</f>
        <v>2679.72</v>
      </c>
      <c r="I23" s="103">
        <f t="shared" si="1"/>
        <v>16078.319999999998</v>
      </c>
      <c r="J23" s="16"/>
      <c r="K23" s="16"/>
      <c r="L23" s="16"/>
      <c r="M23" s="16"/>
      <c r="N23" s="16"/>
      <c r="O23" s="17"/>
    </row>
    <row r="24" spans="2:15" x14ac:dyDescent="0.2">
      <c r="B24" s="96" t="s">
        <v>23</v>
      </c>
      <c r="C24" s="107">
        <f>'(HIDE) Data Validation'!M35</f>
        <v>132000</v>
      </c>
      <c r="D24" s="107">
        <f>'(HIDE) Data Validation'!N35</f>
        <v>0</v>
      </c>
      <c r="E24" s="107">
        <f>'(HIDE) Data Validation'!O35</f>
        <v>0</v>
      </c>
      <c r="F24" s="107">
        <f>'(HIDE) Data Validation'!P35</f>
        <v>0</v>
      </c>
      <c r="G24" s="107">
        <f>'(HIDE) Data Validation'!Q35</f>
        <v>0</v>
      </c>
      <c r="H24" s="107">
        <f>'(HIDE) Data Validation'!R35</f>
        <v>0</v>
      </c>
      <c r="I24" s="107">
        <f t="shared" si="1"/>
        <v>132000</v>
      </c>
      <c r="J24" s="16"/>
      <c r="K24" s="16"/>
      <c r="L24" s="16"/>
      <c r="M24" s="16"/>
      <c r="N24" s="16"/>
      <c r="O24" s="17"/>
    </row>
    <row r="25" spans="2:15" x14ac:dyDescent="0.2">
      <c r="B25" s="20" t="s">
        <v>160</v>
      </c>
      <c r="C25" s="103" t="str">
        <f>'(HIDE) Data Validation'!$B$15</f>
        <v/>
      </c>
      <c r="D25" s="103" t="str">
        <f>'(HIDE) Data Validation'!$B$15</f>
        <v/>
      </c>
      <c r="E25" s="103" t="str">
        <f>'(HIDE) Data Validation'!$B$15</f>
        <v/>
      </c>
      <c r="F25" s="103" t="str">
        <f>'(HIDE) Data Validation'!$B$15</f>
        <v/>
      </c>
      <c r="G25" s="103" t="str">
        <f>'(HIDE) Data Validation'!$B$15</f>
        <v/>
      </c>
      <c r="H25" s="103" t="str">
        <f>'(HIDE) Data Validation'!$B$15</f>
        <v/>
      </c>
      <c r="I25" s="103">
        <f t="shared" si="1"/>
        <v>0</v>
      </c>
      <c r="J25" s="16"/>
      <c r="K25" s="16"/>
      <c r="L25" s="16"/>
      <c r="M25" s="16"/>
      <c r="N25" s="16"/>
      <c r="O25" s="17"/>
    </row>
    <row r="26" spans="2:15" x14ac:dyDescent="0.2">
      <c r="B26" s="96" t="str">
        <f>'(HIDE) Data Validation'!J53</f>
        <v>Delivery App Usage Expenses</v>
      </c>
      <c r="C26" s="107">
        <f>'(HIDE) Data Validation'!M64</f>
        <v>2375.9500000000003</v>
      </c>
      <c r="D26" s="107">
        <f>'(HIDE) Data Validation'!N64</f>
        <v>3557.75</v>
      </c>
      <c r="E26" s="107">
        <f>'(HIDE) Data Validation'!O64</f>
        <v>4250.3</v>
      </c>
      <c r="F26" s="107">
        <f>'(HIDE) Data Validation'!P64</f>
        <v>5326.6500000000005</v>
      </c>
      <c r="G26" s="107">
        <f>'(HIDE) Data Validation'!Q64</f>
        <v>5738.9500000000007</v>
      </c>
      <c r="H26" s="107">
        <f>'(HIDE) Data Validation'!R64</f>
        <v>6906.5</v>
      </c>
      <c r="I26" s="107">
        <f t="shared" si="1"/>
        <v>28156.100000000002</v>
      </c>
      <c r="J26" s="16"/>
      <c r="K26" s="16"/>
      <c r="L26" s="16"/>
      <c r="M26" s="16"/>
      <c r="N26" s="16"/>
      <c r="O26" s="17"/>
    </row>
    <row r="27" spans="2:15" s="5" customFormat="1" ht="16" x14ac:dyDescent="0.2">
      <c r="B27" s="21" t="s">
        <v>24</v>
      </c>
      <c r="C27" s="104">
        <f t="shared" ref="C27:H27" si="2">SUM(C14:C26)</f>
        <v>312151.18424999999</v>
      </c>
      <c r="D27" s="104">
        <f t="shared" si="2"/>
        <v>70007.554250000001</v>
      </c>
      <c r="E27" s="104">
        <f t="shared" si="2"/>
        <v>76310.294250000006</v>
      </c>
      <c r="F27" s="104">
        <f t="shared" si="2"/>
        <v>83886.211500000005</v>
      </c>
      <c r="G27" s="104">
        <f t="shared" si="2"/>
        <v>91766.507249999995</v>
      </c>
      <c r="H27" s="104">
        <f t="shared" si="2"/>
        <v>98862.680000000008</v>
      </c>
      <c r="I27" s="104">
        <f t="shared" si="1"/>
        <v>732984.43150000006</v>
      </c>
      <c r="J27" s="17"/>
      <c r="K27" s="17"/>
      <c r="L27" s="17"/>
      <c r="M27" s="17"/>
      <c r="N27" s="17"/>
      <c r="O27" s="17"/>
    </row>
    <row r="28" spans="2:15" x14ac:dyDescent="0.2">
      <c r="B28" s="102"/>
      <c r="C28" s="107"/>
      <c r="D28" s="107"/>
      <c r="E28" s="107"/>
      <c r="F28" s="107"/>
      <c r="G28" s="107"/>
      <c r="H28" s="107"/>
      <c r="I28" s="107"/>
      <c r="J28" s="16"/>
      <c r="K28" s="16"/>
      <c r="L28" s="16"/>
      <c r="M28" s="16"/>
      <c r="N28" s="16"/>
      <c r="O28" s="17"/>
    </row>
    <row r="29" spans="2:15" x14ac:dyDescent="0.2">
      <c r="B29" s="22" t="s">
        <v>25</v>
      </c>
      <c r="C29" s="103">
        <f t="shared" ref="C29:H29" si="3">C11-C27</f>
        <v>-136887.88425</v>
      </c>
      <c r="D29" s="103">
        <f t="shared" si="3"/>
        <v>-5943.354250000004</v>
      </c>
      <c r="E29" s="103">
        <f t="shared" si="3"/>
        <v>4540.4057499999908</v>
      </c>
      <c r="F29" s="103">
        <f t="shared" si="3"/>
        <v>16188.688499999989</v>
      </c>
      <c r="G29" s="103">
        <f t="shared" si="3"/>
        <v>20538.692749999987</v>
      </c>
      <c r="H29" s="103">
        <f t="shared" si="3"/>
        <v>32262.020000000004</v>
      </c>
      <c r="I29" s="103">
        <f t="shared" si="1"/>
        <v>-69301.431500000021</v>
      </c>
      <c r="J29" s="16"/>
      <c r="K29" s="16"/>
      <c r="L29" s="16"/>
      <c r="M29" s="16"/>
      <c r="N29" s="16"/>
      <c r="O29" s="17"/>
    </row>
    <row r="30" spans="2:15" x14ac:dyDescent="0.2">
      <c r="B30" s="102"/>
      <c r="C30" s="107"/>
      <c r="D30" s="107"/>
      <c r="E30" s="107"/>
      <c r="F30" s="107"/>
      <c r="G30" s="107"/>
      <c r="H30" s="107"/>
      <c r="I30" s="107"/>
      <c r="J30" s="16"/>
      <c r="K30" s="16"/>
      <c r="L30" s="16"/>
      <c r="M30" s="16"/>
      <c r="N30" s="16"/>
      <c r="O30" s="17"/>
    </row>
    <row r="31" spans="2:15" x14ac:dyDescent="0.2">
      <c r="B31" s="9" t="s">
        <v>26</v>
      </c>
      <c r="C31" s="103">
        <f>'(HIDE) Data Validation'!C18</f>
        <v>150000</v>
      </c>
      <c r="D31" s="103">
        <f>C33</f>
        <v>13112.115749999997</v>
      </c>
      <c r="E31" s="103">
        <f>D33</f>
        <v>7168.7614999999932</v>
      </c>
      <c r="F31" s="103">
        <f>E33</f>
        <v>11709.167249999984</v>
      </c>
      <c r="G31" s="103">
        <f>F33</f>
        <v>27897.855749999973</v>
      </c>
      <c r="H31" s="103">
        <f>G33</f>
        <v>48436.548499999961</v>
      </c>
      <c r="I31" s="103">
        <f>C31</f>
        <v>150000</v>
      </c>
      <c r="J31" s="16"/>
      <c r="K31" s="16"/>
      <c r="L31" s="16"/>
      <c r="M31" s="16"/>
      <c r="N31" s="16"/>
      <c r="O31" s="17"/>
    </row>
    <row r="32" spans="2:15" x14ac:dyDescent="0.2">
      <c r="B32" s="102"/>
      <c r="C32" s="107"/>
      <c r="D32" s="107"/>
      <c r="E32" s="107"/>
      <c r="F32" s="107"/>
      <c r="G32" s="107"/>
      <c r="H32" s="107"/>
      <c r="I32" s="107"/>
      <c r="J32" s="16"/>
      <c r="K32" s="16"/>
      <c r="L32" s="16"/>
      <c r="M32" s="16"/>
      <c r="N32" s="16"/>
      <c r="O32" s="17"/>
    </row>
    <row r="33" spans="1:15" x14ac:dyDescent="0.2">
      <c r="B33" s="23" t="s">
        <v>27</v>
      </c>
      <c r="C33" s="105">
        <f t="shared" ref="C33:H33" si="4">C31+C29</f>
        <v>13112.115749999997</v>
      </c>
      <c r="D33" s="105">
        <f t="shared" si="4"/>
        <v>7168.7614999999932</v>
      </c>
      <c r="E33" s="105">
        <f t="shared" si="4"/>
        <v>11709.167249999984</v>
      </c>
      <c r="F33" s="105">
        <f t="shared" si="4"/>
        <v>27897.855749999973</v>
      </c>
      <c r="G33" s="105">
        <f t="shared" si="4"/>
        <v>48436.548499999961</v>
      </c>
      <c r="H33" s="105">
        <f t="shared" si="4"/>
        <v>80698.568499999965</v>
      </c>
      <c r="I33" s="105">
        <f>H33</f>
        <v>80698.568499999965</v>
      </c>
      <c r="J33" s="16"/>
      <c r="K33" s="16"/>
      <c r="L33" s="16"/>
      <c r="M33" s="16"/>
      <c r="N33" s="16"/>
      <c r="O33" s="17"/>
    </row>
    <row r="34" spans="1:15" x14ac:dyDescent="0.2">
      <c r="B34" s="62" t="s">
        <v>431</v>
      </c>
      <c r="I34" s="63">
        <f>I31</f>
        <v>150000</v>
      </c>
    </row>
    <row r="35" spans="1:15" ht="26" x14ac:dyDescent="0.3">
      <c r="B35" s="205" t="str">
        <f>IF('(HIDE) Data Validation'!B25=0,"","YOU HAVE NOT YET RAISED ENOUGH CAPITAL. YOU STILL NEED $"&amp;TEXT('(HIDE) Data Validation'!B25,"#,##0;;@"))</f>
        <v/>
      </c>
      <c r="C35" s="205"/>
      <c r="D35" s="205"/>
      <c r="E35" s="205"/>
      <c r="F35" s="205"/>
      <c r="G35" s="205"/>
      <c r="H35" s="205"/>
      <c r="I35" s="205"/>
    </row>
    <row r="38" spans="1:15" ht="16" x14ac:dyDescent="0.2">
      <c r="A38" s="166"/>
      <c r="O38" s="1"/>
    </row>
    <row r="39" spans="1:15" ht="16" x14ac:dyDescent="0.2">
      <c r="A39" s="166"/>
      <c r="O39" s="1"/>
    </row>
    <row r="40" spans="1:15" ht="16" x14ac:dyDescent="0.2">
      <c r="A40" s="166"/>
      <c r="O40" s="1"/>
    </row>
    <row r="41" spans="1:15" ht="16" x14ac:dyDescent="0.2">
      <c r="A41" s="166"/>
      <c r="O41" s="1"/>
    </row>
    <row r="42" spans="1:15" ht="16" x14ac:dyDescent="0.2">
      <c r="A42" s="166"/>
      <c r="O42" s="1"/>
    </row>
    <row r="43" spans="1:15" s="168" customFormat="1" ht="16" x14ac:dyDescent="0.2">
      <c r="A43" s="167"/>
    </row>
    <row r="44" spans="1:15" ht="16" x14ac:dyDescent="0.2">
      <c r="A44" s="166"/>
      <c r="O44" s="1"/>
    </row>
    <row r="45" spans="1:15" ht="16" x14ac:dyDescent="0.2">
      <c r="A45" s="166"/>
      <c r="O45" s="1"/>
    </row>
    <row r="46" spans="1:15" ht="16" x14ac:dyDescent="0.2">
      <c r="A46" s="166"/>
      <c r="O46" s="1"/>
    </row>
  </sheetData>
  <sheetProtection algorithmName="SHA-512" hashValue="TnFzIe861lwNnFbsF6AK44RR1omyCRRgIURgRJ2bK7KCHBpj80EnnLn7Kw7eA2T9n0Y3MeqSfMGJ1mTBWh2cdQ==" saltValue="jUAfs6aOv7f2cjdWOzQBog==" spinCount="100000" sheet="1" formatColumns="0" formatRows="0" selectLockedCells="1"/>
  <mergeCells count="5">
    <mergeCell ref="B4:H4"/>
    <mergeCell ref="B1:I1"/>
    <mergeCell ref="B2:I2"/>
    <mergeCell ref="B3:I3"/>
    <mergeCell ref="B35:I35"/>
  </mergeCells>
  <phoneticPr fontId="2" type="noConversion"/>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P38"/>
  <sheetViews>
    <sheetView zoomScale="90" zoomScaleNormal="90" workbookViewId="0">
      <selection activeCell="N5" sqref="N5"/>
    </sheetView>
  </sheetViews>
  <sheetFormatPr baseColWidth="10" defaultColWidth="8.83203125" defaultRowHeight="15" x14ac:dyDescent="0.2"/>
  <cols>
    <col min="1" max="2" width="8.83203125" style="1"/>
    <col min="3" max="3" width="11.5" style="1" customWidth="1"/>
    <col min="4" max="11" width="8.83203125" style="1"/>
    <col min="12" max="12" width="12.83203125" style="1" customWidth="1"/>
    <col min="13" max="16384" width="8.83203125" style="1"/>
  </cols>
  <sheetData>
    <row r="1" spans="2:14" ht="67.5" customHeight="1" x14ac:dyDescent="0.2"/>
    <row r="2" spans="2:14" ht="54.25" customHeight="1" x14ac:dyDescent="0.2">
      <c r="B2" s="183" t="str">
        <f>"It is now the 1st of July, and you have been operating "&amp;IF('Business Setup'!F3="","UNNAMED",'Business Setup'!F3)&amp;" for 6 months. You are now looking at diversifying your products and boost sales. To diversify products and boost sales growth, "&amp;IF('Business Setup'!F3="","UNNAMED",'Business Setup'!F3)&amp;" will start selling side dishes"</f>
        <v>It is now the 1st of July, and you have been operating Insight-FULL Pizza for 6 months. You are now looking at diversifying your products and boost sales. To diversify products and boost sales growth, Insight-FULL Pizza will start selling side dishes</v>
      </c>
      <c r="C2" s="183"/>
      <c r="D2" s="183"/>
      <c r="E2" s="183"/>
      <c r="F2" s="183"/>
      <c r="G2" s="183"/>
      <c r="H2" s="183"/>
      <c r="I2" s="183"/>
      <c r="J2" s="183"/>
      <c r="K2" s="183"/>
      <c r="L2" s="183"/>
    </row>
    <row r="3" spans="2:14" x14ac:dyDescent="0.2">
      <c r="B3" s="89" t="s">
        <v>186</v>
      </c>
    </row>
    <row r="5" spans="2:14" ht="14.75" customHeight="1" x14ac:dyDescent="0.2">
      <c r="E5" s="206" t="s">
        <v>190</v>
      </c>
      <c r="F5" s="206"/>
      <c r="G5" s="206"/>
      <c r="H5" s="206"/>
      <c r="I5" s="206"/>
      <c r="J5" s="206"/>
      <c r="K5" s="206"/>
      <c r="L5" s="206"/>
      <c r="N5" s="154"/>
    </row>
    <row r="6" spans="2:14" x14ac:dyDescent="0.2">
      <c r="E6" s="208" t="str">
        <f>"Cost per serve (including preparation and packaging)= $"&amp;TEXT('(HIDE) Data Validation'!B36,"#,##0.#0;;@")</f>
        <v>Cost per serve (including preparation and packaging)= $1.50</v>
      </c>
      <c r="F6" s="208"/>
      <c r="G6" s="208"/>
      <c r="H6" s="208"/>
      <c r="I6" s="208"/>
      <c r="J6" s="208"/>
      <c r="K6" s="208"/>
      <c r="L6" s="208"/>
    </row>
    <row r="7" spans="2:14" x14ac:dyDescent="0.2">
      <c r="E7" s="14" t="str">
        <f>"Cost per deep fryer = $"&amp;TEXT('(HIDE) Data Validation'!B38,"#,##0;;@")&amp;". Deep fryers have a useful life of 10 years"</f>
        <v>Cost per deep fryer = $4,000. Deep fryers have a useful life of 10 years</v>
      </c>
      <c r="F7" s="14"/>
      <c r="G7" s="14"/>
      <c r="H7" s="14"/>
      <c r="I7" s="14"/>
      <c r="J7" s="14"/>
      <c r="K7" s="14"/>
      <c r="L7" s="14"/>
    </row>
    <row r="8" spans="2:14" ht="14.75" customHeight="1" x14ac:dyDescent="0.2">
      <c r="E8" s="206" t="str">
        <f>"Monthly production capacity per deep fryer = "&amp;TEXT('(HIDE) Data Validation'!B39,"#,##0;;@")&amp;" per month"</f>
        <v>Monthly production capacity per deep fryer = 10,000 per month</v>
      </c>
      <c r="F8" s="206"/>
      <c r="G8" s="206"/>
      <c r="H8" s="206"/>
      <c r="I8" s="206"/>
      <c r="J8" s="206"/>
      <c r="K8" s="206"/>
      <c r="L8" s="206"/>
    </row>
    <row r="9" spans="2:14" ht="14.75" customHeight="1" x14ac:dyDescent="0.2">
      <c r="E9" s="14" t="s">
        <v>442</v>
      </c>
      <c r="F9" s="14"/>
      <c r="G9" s="14"/>
      <c r="H9" s="14"/>
      <c r="I9" s="14"/>
      <c r="J9" s="14"/>
      <c r="K9" s="14"/>
      <c r="L9" s="14"/>
    </row>
    <row r="10" spans="2:14" x14ac:dyDescent="0.2">
      <c r="E10" s="206"/>
      <c r="F10" s="206"/>
      <c r="G10" s="206"/>
      <c r="H10" s="206"/>
      <c r="I10" s="206"/>
      <c r="J10" s="206"/>
      <c r="K10" s="206"/>
      <c r="L10" s="206"/>
    </row>
    <row r="11" spans="2:14" ht="14.75" customHeight="1" x14ac:dyDescent="0.2">
      <c r="E11" s="207" t="s">
        <v>196</v>
      </c>
      <c r="F11" s="207"/>
      <c r="G11" s="207"/>
      <c r="H11" s="207"/>
      <c r="I11" s="207"/>
      <c r="J11" s="207"/>
      <c r="K11" s="207"/>
      <c r="L11" s="207"/>
    </row>
    <row r="12" spans="2:14" x14ac:dyDescent="0.2">
      <c r="E12" s="207"/>
      <c r="F12" s="207"/>
      <c r="G12" s="207"/>
      <c r="H12" s="207"/>
      <c r="I12" s="207"/>
      <c r="J12" s="207"/>
      <c r="K12" s="207"/>
      <c r="L12" s="207"/>
    </row>
    <row r="13" spans="2:14" x14ac:dyDescent="0.2">
      <c r="E13" s="207"/>
      <c r="F13" s="207"/>
      <c r="G13" s="207"/>
      <c r="H13" s="207"/>
      <c r="I13" s="207"/>
      <c r="J13" s="207"/>
      <c r="K13" s="207"/>
      <c r="L13" s="207"/>
    </row>
    <row r="14" spans="2:14" x14ac:dyDescent="0.2">
      <c r="E14" s="206" t="str">
        <f>"Cost per serve (including preparation and packaging)= $"&amp;'(HIDE) Data Validation'!C36&amp;".00"</f>
        <v>Cost per serve (including preparation and packaging)= $2.00</v>
      </c>
      <c r="F14" s="206"/>
      <c r="G14" s="206"/>
      <c r="H14" s="206"/>
      <c r="I14" s="206"/>
      <c r="J14" s="206"/>
      <c r="K14" s="206"/>
      <c r="L14" s="8"/>
    </row>
    <row r="16" spans="2:14" x14ac:dyDescent="0.2">
      <c r="E16" s="183" t="s">
        <v>195</v>
      </c>
      <c r="F16" s="183"/>
      <c r="G16" s="183"/>
      <c r="H16" s="183"/>
      <c r="I16" s="183"/>
      <c r="J16" s="183"/>
      <c r="K16" s="183"/>
      <c r="L16" s="183"/>
    </row>
    <row r="17" spans="1:16" x14ac:dyDescent="0.2">
      <c r="E17" s="183"/>
      <c r="F17" s="183"/>
      <c r="G17" s="183"/>
      <c r="H17" s="183"/>
      <c r="I17" s="183"/>
      <c r="J17" s="183"/>
      <c r="K17" s="183"/>
      <c r="L17" s="183"/>
    </row>
    <row r="18" spans="1:16" x14ac:dyDescent="0.2">
      <c r="E18" s="208" t="str">
        <f>"Cost per serve (including preparation and packaging)= $"&amp;TEXT('(HIDE) Data Validation'!D36,"#,##0.#0;;@")</f>
        <v>Cost per serve (including preparation and packaging)= $1.20</v>
      </c>
      <c r="F18" s="208"/>
      <c r="G18" s="208"/>
      <c r="H18" s="208"/>
      <c r="I18" s="208"/>
      <c r="J18" s="208"/>
      <c r="K18" s="208"/>
      <c r="L18" s="208"/>
    </row>
    <row r="19" spans="1:16" x14ac:dyDescent="0.2">
      <c r="E19" s="14" t="str">
        <f>"Cost per conveyer oven = $"&amp;'(HIDE) Data Validation'!D38&amp;". Conveyor Ovens have a useful life of 10 years"</f>
        <v>Cost per conveyer oven = $600. Conveyor Ovens have a useful life of 10 years</v>
      </c>
      <c r="F19" s="14"/>
      <c r="G19" s="14"/>
      <c r="H19" s="14"/>
      <c r="I19" s="14"/>
      <c r="J19" s="14"/>
      <c r="K19" s="14"/>
      <c r="L19" s="14"/>
    </row>
    <row r="20" spans="1:16" x14ac:dyDescent="0.2">
      <c r="E20" s="206" t="str">
        <f>"Monthly production capacity per conveyer oven = "&amp;TEXT('(HIDE) Data Validation'!D39,"#,##0;;@")&amp;" per month"</f>
        <v>Monthly production capacity per conveyer oven = 4,000 per month</v>
      </c>
      <c r="F20" s="206"/>
      <c r="G20" s="206"/>
      <c r="H20" s="206"/>
      <c r="I20" s="206"/>
      <c r="J20" s="206"/>
      <c r="K20" s="206"/>
      <c r="L20" s="206"/>
    </row>
    <row r="21" spans="1:16" x14ac:dyDescent="0.2">
      <c r="E21" s="1" t="s">
        <v>443</v>
      </c>
    </row>
    <row r="24" spans="1:16" x14ac:dyDescent="0.2">
      <c r="B24" s="1" t="str">
        <f>"How much will you charge for each serve of "&amp;'(HIDE) Data Validation'!B41&amp;"? A cheaper price will result in higher sales (Choose a value between $3.00 - $8.00) "</f>
        <v xml:space="preserve">How much will you charge for each serve of Garlic Bread? A cheaper price will result in higher sales (Choose a value between $3.00 - $8.00) </v>
      </c>
      <c r="P24" s="45" t="s">
        <v>332</v>
      </c>
    </row>
    <row r="25" spans="1:16" ht="8.25" customHeight="1" thickBot="1" x14ac:dyDescent="0.25"/>
    <row r="26" spans="1:16" ht="16" thickBot="1" x14ac:dyDescent="0.25">
      <c r="B26" s="140">
        <f>'(HIDE) Data Validation'!D42</f>
        <v>4</v>
      </c>
      <c r="G26" s="1" t="str">
        <f>"It is estimated that "&amp;'(HIDE) Data Validation'!D45&amp;"% of customers will buy "&amp;'(HIDE) Data Validation'!B41</f>
        <v>It is estimated that 49.3% of customers will buy Garlic Bread</v>
      </c>
    </row>
    <row r="28" spans="1:16" x14ac:dyDescent="0.2">
      <c r="B28" s="1" t="str">
        <f>"Extra employees will be automatically hired as necessary and will be paid at the earlier set hourly rate of $"&amp;'(HIDE) Data Validation'!J2&amp;"/hr"</f>
        <v>Extra employees will be automatically hired as necessary and will be paid at the earlier set hourly rate of $20/hr</v>
      </c>
    </row>
    <row r="30" spans="1:16" ht="16" x14ac:dyDescent="0.2">
      <c r="A30" s="166"/>
    </row>
    <row r="31" spans="1:16" ht="16" x14ac:dyDescent="0.2">
      <c r="A31" s="166"/>
    </row>
    <row r="32" spans="1:16" ht="16" x14ac:dyDescent="0.2">
      <c r="A32" s="166"/>
    </row>
    <row r="33" spans="1:1" ht="16" x14ac:dyDescent="0.2">
      <c r="A33" s="166"/>
    </row>
    <row r="34" spans="1:1" ht="16" x14ac:dyDescent="0.2">
      <c r="A34" s="166"/>
    </row>
    <row r="35" spans="1:1" s="168" customFormat="1" ht="16" x14ac:dyDescent="0.2">
      <c r="A35" s="167"/>
    </row>
    <row r="36" spans="1:1" ht="16" x14ac:dyDescent="0.2">
      <c r="A36" s="166"/>
    </row>
    <row r="37" spans="1:1" ht="16" x14ac:dyDescent="0.2">
      <c r="A37" s="166"/>
    </row>
    <row r="38" spans="1:1" ht="16" x14ac:dyDescent="0.2">
      <c r="A38" s="166"/>
    </row>
  </sheetData>
  <sheetProtection algorithmName="SHA-512" hashValue="xZMqUut42BUxI/uVK0FGoF1L7iPXMAaCsQMdebDwPsGDq9O6w0pTX1VHu1vgOfkENbPDHh4SglDVxNnjzoNZWg==" saltValue="1h5sIZRC9sdCVdaRX6gmaA==" spinCount="100000" sheet="1" formatColumns="0" formatRows="0" selectLockedCells="1"/>
  <mergeCells count="10">
    <mergeCell ref="B2:L2"/>
    <mergeCell ref="E18:L18"/>
    <mergeCell ref="E5:L5"/>
    <mergeCell ref="E6:L6"/>
    <mergeCell ref="E10:L10"/>
    <mergeCell ref="E20:L20"/>
    <mergeCell ref="E11:L13"/>
    <mergeCell ref="E14:K14"/>
    <mergeCell ref="E16:L17"/>
    <mergeCell ref="E8:L8"/>
  </mergeCells>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Group Box 1">
              <controlPr defaultSize="0" autoFill="0" autoPict="0">
                <anchor moveWithCells="1">
                  <from>
                    <xdr:col>1</xdr:col>
                    <xdr:colOff>482600</xdr:colOff>
                    <xdr:row>3</xdr:row>
                    <xdr:rowOff>63500</xdr:rowOff>
                  </from>
                  <to>
                    <xdr:col>12</xdr:col>
                    <xdr:colOff>152400</xdr:colOff>
                    <xdr:row>22</xdr:row>
                    <xdr:rowOff>12700</xdr:rowOff>
                  </to>
                </anchor>
              </controlPr>
            </control>
          </mc:Choice>
        </mc:AlternateContent>
        <mc:AlternateContent xmlns:mc="http://schemas.openxmlformats.org/markup-compatibility/2006">
          <mc:Choice Requires="x14">
            <control shapeId="24578" r:id="rId5" name="Option Button 2">
              <controlPr defaultSize="0" autoFill="0" autoLine="0" autoPict="0">
                <anchor moveWithCells="1">
                  <from>
                    <xdr:col>2</xdr:col>
                    <xdr:colOff>50800</xdr:colOff>
                    <xdr:row>3</xdr:row>
                    <xdr:rowOff>177800</xdr:rowOff>
                  </from>
                  <to>
                    <xdr:col>3</xdr:col>
                    <xdr:colOff>127000</xdr:colOff>
                    <xdr:row>5</xdr:row>
                    <xdr:rowOff>25400</xdr:rowOff>
                  </to>
                </anchor>
              </controlPr>
            </control>
          </mc:Choice>
        </mc:AlternateContent>
        <mc:AlternateContent xmlns:mc="http://schemas.openxmlformats.org/markup-compatibility/2006">
          <mc:Choice Requires="x14">
            <control shapeId="24580" r:id="rId6" name="Option Button 4">
              <controlPr defaultSize="0" autoFill="0" autoLine="0" autoPict="0">
                <anchor moveWithCells="1">
                  <from>
                    <xdr:col>2</xdr:col>
                    <xdr:colOff>50800</xdr:colOff>
                    <xdr:row>9</xdr:row>
                    <xdr:rowOff>177800</xdr:rowOff>
                  </from>
                  <to>
                    <xdr:col>3</xdr:col>
                    <xdr:colOff>127000</xdr:colOff>
                    <xdr:row>11</xdr:row>
                    <xdr:rowOff>25400</xdr:rowOff>
                  </to>
                </anchor>
              </controlPr>
            </control>
          </mc:Choice>
        </mc:AlternateContent>
        <mc:AlternateContent xmlns:mc="http://schemas.openxmlformats.org/markup-compatibility/2006">
          <mc:Choice Requires="x14">
            <control shapeId="24581" r:id="rId7" name="Option Button 5">
              <controlPr defaultSize="0" autoFill="0" autoLine="0" autoPict="0">
                <anchor moveWithCells="1">
                  <from>
                    <xdr:col>2</xdr:col>
                    <xdr:colOff>50800</xdr:colOff>
                    <xdr:row>14</xdr:row>
                    <xdr:rowOff>177800</xdr:rowOff>
                  </from>
                  <to>
                    <xdr:col>3</xdr:col>
                    <xdr:colOff>127000</xdr:colOff>
                    <xdr:row>16</xdr:row>
                    <xdr:rowOff>25400</xdr:rowOff>
                  </to>
                </anchor>
              </controlPr>
            </control>
          </mc:Choice>
        </mc:AlternateContent>
        <mc:AlternateContent xmlns:mc="http://schemas.openxmlformats.org/markup-compatibility/2006">
          <mc:Choice Requires="x14">
            <control shapeId="24582" r:id="rId8" name="Scroll Bar 6">
              <controlPr defaultSize="0" autoPict="0">
                <anchor moveWithCells="1">
                  <from>
                    <xdr:col>2</xdr:col>
                    <xdr:colOff>101600</xdr:colOff>
                    <xdr:row>25</xdr:row>
                    <xdr:rowOff>12700</xdr:rowOff>
                  </from>
                  <to>
                    <xdr:col>5</xdr:col>
                    <xdr:colOff>317500</xdr:colOff>
                    <xdr:row>25</xdr:row>
                    <xdr:rowOff>177800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1"/>
  <dimension ref="B1:Q38"/>
  <sheetViews>
    <sheetView zoomScaleNormal="100" workbookViewId="0">
      <selection activeCell="Q7" sqref="Q7"/>
    </sheetView>
  </sheetViews>
  <sheetFormatPr baseColWidth="10" defaultColWidth="8.83203125" defaultRowHeight="15" x14ac:dyDescent="0.2"/>
  <cols>
    <col min="1" max="1" width="2.83203125" style="1" customWidth="1"/>
    <col min="2" max="2" width="44.5" style="1" bestFit="1" customWidth="1"/>
    <col min="3" max="14" width="19.5" style="1" customWidth="1"/>
    <col min="15" max="15" width="19.5" style="5" customWidth="1"/>
    <col min="16" max="16384" width="8.83203125" style="1"/>
  </cols>
  <sheetData>
    <row r="1" spans="2:17" ht="19" x14ac:dyDescent="0.25">
      <c r="B1" s="204" t="str">
        <f>IF('Business Setup'!F3="","UNNAMED",'Business Setup'!F3)</f>
        <v>Insight-FULL Pizza</v>
      </c>
      <c r="C1" s="204"/>
      <c r="D1" s="204"/>
      <c r="E1" s="204"/>
      <c r="F1" s="204"/>
      <c r="G1" s="204"/>
      <c r="H1" s="204"/>
      <c r="I1" s="204"/>
      <c r="J1" s="204"/>
      <c r="K1" s="204"/>
      <c r="L1" s="204"/>
      <c r="M1" s="204"/>
      <c r="N1" s="204"/>
      <c r="O1" s="204"/>
    </row>
    <row r="2" spans="2:17" ht="19" x14ac:dyDescent="0.25">
      <c r="B2" s="204" t="s">
        <v>0</v>
      </c>
      <c r="C2" s="204"/>
      <c r="D2" s="204"/>
      <c r="E2" s="204"/>
      <c r="F2" s="204"/>
      <c r="G2" s="204"/>
      <c r="H2" s="204"/>
      <c r="I2" s="204"/>
      <c r="J2" s="204"/>
      <c r="K2" s="204"/>
      <c r="L2" s="204"/>
      <c r="M2" s="204"/>
      <c r="N2" s="204"/>
      <c r="O2" s="204"/>
    </row>
    <row r="3" spans="2:17" ht="19" x14ac:dyDescent="0.25">
      <c r="B3" s="204" t="s">
        <v>348</v>
      </c>
      <c r="C3" s="204"/>
      <c r="D3" s="204"/>
      <c r="E3" s="204"/>
      <c r="F3" s="204"/>
      <c r="G3" s="204"/>
      <c r="H3" s="204"/>
      <c r="I3" s="204"/>
      <c r="J3" s="204"/>
      <c r="K3" s="204"/>
      <c r="L3" s="204"/>
      <c r="M3" s="204"/>
      <c r="N3" s="204"/>
      <c r="O3" s="204"/>
    </row>
    <row r="4" spans="2:17" x14ac:dyDescent="0.2">
      <c r="B4" s="62" t="s">
        <v>431</v>
      </c>
      <c r="O4" s="64">
        <f>O34</f>
        <v>150000</v>
      </c>
    </row>
    <row r="5" spans="2:17" x14ac:dyDescent="0.2">
      <c r="C5" s="19" t="s">
        <v>1</v>
      </c>
      <c r="D5" s="19" t="s">
        <v>2</v>
      </c>
      <c r="E5" s="19" t="s">
        <v>3</v>
      </c>
      <c r="F5" s="19" t="s">
        <v>4</v>
      </c>
      <c r="G5" s="19" t="s">
        <v>5</v>
      </c>
      <c r="H5" s="19" t="s">
        <v>6</v>
      </c>
      <c r="I5" s="19" t="s">
        <v>7</v>
      </c>
      <c r="J5" s="19" t="s">
        <v>8</v>
      </c>
      <c r="K5" s="19" t="s">
        <v>9</v>
      </c>
      <c r="L5" s="19" t="s">
        <v>10</v>
      </c>
      <c r="M5" s="19" t="s">
        <v>11</v>
      </c>
      <c r="N5" s="19" t="s">
        <v>12</v>
      </c>
      <c r="O5" s="19" t="s">
        <v>28</v>
      </c>
    </row>
    <row r="6" spans="2:17" ht="16" x14ac:dyDescent="0.2">
      <c r="B6" s="101" t="s">
        <v>13</v>
      </c>
      <c r="C6" s="106" t="s">
        <v>40</v>
      </c>
      <c r="D6" s="106" t="s">
        <v>40</v>
      </c>
      <c r="E6" s="106" t="s">
        <v>40</v>
      </c>
      <c r="F6" s="106" t="s">
        <v>40</v>
      </c>
      <c r="G6" s="106" t="s">
        <v>40</v>
      </c>
      <c r="H6" s="106" t="s">
        <v>40</v>
      </c>
      <c r="I6" s="106" t="s">
        <v>40</v>
      </c>
      <c r="J6" s="106" t="s">
        <v>40</v>
      </c>
      <c r="K6" s="106" t="s">
        <v>40</v>
      </c>
      <c r="L6" s="106" t="s">
        <v>40</v>
      </c>
      <c r="M6" s="106" t="s">
        <v>40</v>
      </c>
      <c r="N6" s="106" t="s">
        <v>40</v>
      </c>
      <c r="O6" s="106" t="s">
        <v>40</v>
      </c>
    </row>
    <row r="7" spans="2:17" x14ac:dyDescent="0.2">
      <c r="B7" s="20" t="s">
        <v>14</v>
      </c>
      <c r="C7" s="90">
        <f>'(HIDE) Data Validation'!C19</f>
        <v>142000</v>
      </c>
      <c r="D7" s="90"/>
      <c r="E7" s="90"/>
      <c r="F7" s="90"/>
      <c r="G7" s="90"/>
      <c r="H7" s="90"/>
      <c r="I7" s="90"/>
      <c r="J7" s="90"/>
      <c r="K7" s="90"/>
      <c r="L7" s="90"/>
      <c r="M7" s="90"/>
      <c r="N7" s="90"/>
      <c r="O7" s="91">
        <f t="shared" ref="O7:O12" si="0">SUM(C7:N7)</f>
        <v>142000</v>
      </c>
      <c r="Q7" s="154"/>
    </row>
    <row r="8" spans="2:17" x14ac:dyDescent="0.2">
      <c r="B8" s="96" t="s">
        <v>175</v>
      </c>
      <c r="C8" s="97">
        <f>'(HIDE) Data Validation'!C20</f>
        <v>0</v>
      </c>
      <c r="D8" s="97"/>
      <c r="E8" s="97"/>
      <c r="F8" s="97"/>
      <c r="G8" s="97"/>
      <c r="H8" s="97"/>
      <c r="I8" s="97"/>
      <c r="J8" s="97"/>
      <c r="K8" s="97"/>
      <c r="L8" s="97"/>
      <c r="M8" s="97"/>
      <c r="N8" s="97"/>
      <c r="O8" s="98">
        <f t="shared" si="0"/>
        <v>0</v>
      </c>
    </row>
    <row r="9" spans="2:17" x14ac:dyDescent="0.2">
      <c r="B9" s="20" t="str">
        <f>"Cash Sales ("&amp;'(HIDE) Data Validation'!A6&amp;")"</f>
        <v>Cash Sales (Pizzas)</v>
      </c>
      <c r="C9" s="90">
        <f>'(HIDE) Data Validation'!M41</f>
        <v>33263.299999999996</v>
      </c>
      <c r="D9" s="90">
        <f>'(HIDE) Data Validation'!N41</f>
        <v>49808.5</v>
      </c>
      <c r="E9" s="90">
        <f>'(HIDE) Data Validation'!O41</f>
        <v>59504.2</v>
      </c>
      <c r="F9" s="90">
        <f>'(HIDE) Data Validation'!P41</f>
        <v>74573.099999999991</v>
      </c>
      <c r="G9" s="90">
        <f>'(HIDE) Data Validation'!Q41</f>
        <v>80345.299999999988</v>
      </c>
      <c r="H9" s="90">
        <f>'(HIDE) Data Validation'!R41</f>
        <v>96691</v>
      </c>
      <c r="I9" s="90">
        <f>'(HIDE) Data Validation'!S41</f>
        <v>94031</v>
      </c>
      <c r="J9" s="90">
        <f>'(HIDE) Data Validation'!T41</f>
        <v>98978.599999999991</v>
      </c>
      <c r="K9" s="90">
        <f>'(HIDE) Data Validation'!U41</f>
        <v>113302.7</v>
      </c>
      <c r="L9" s="90">
        <f>'(HIDE) Data Validation'!V41</f>
        <v>106253.7</v>
      </c>
      <c r="M9" s="90">
        <f>'(HIDE) Data Validation'!W41</f>
        <v>108887.09999999999</v>
      </c>
      <c r="N9" s="90">
        <f>'(HIDE) Data Validation'!X41</f>
        <v>133226.1</v>
      </c>
      <c r="O9" s="91">
        <f t="shared" si="0"/>
        <v>1048864.5999999999</v>
      </c>
    </row>
    <row r="10" spans="2:17" x14ac:dyDescent="0.2">
      <c r="B10" s="96" t="str">
        <f>"Credit Sales ("&amp;'(HIDE) Data Validation'!A6&amp;")"</f>
        <v>Credit Sales (Pizzas)</v>
      </c>
      <c r="C10" s="97">
        <f>'(HIDE) Data Validation'!M42</f>
        <v>0</v>
      </c>
      <c r="D10" s="97">
        <f>'(HIDE) Data Validation'!N42</f>
        <v>14255.699999999999</v>
      </c>
      <c r="E10" s="97">
        <f>'(HIDE) Data Validation'!O42</f>
        <v>21346.5</v>
      </c>
      <c r="F10" s="97">
        <f>'(HIDE) Data Validation'!P42</f>
        <v>25501.8</v>
      </c>
      <c r="G10" s="97">
        <f>'(HIDE) Data Validation'!Q42</f>
        <v>31959.899999999998</v>
      </c>
      <c r="H10" s="97">
        <f>'(HIDE) Data Validation'!R42</f>
        <v>34433.699999999997</v>
      </c>
      <c r="I10" s="97">
        <f>'(HIDE) Data Validation'!S42</f>
        <v>41439</v>
      </c>
      <c r="J10" s="97">
        <f>'(HIDE) Data Validation'!T42</f>
        <v>40299</v>
      </c>
      <c r="K10" s="97">
        <f>'(HIDE) Data Validation'!U42</f>
        <v>42419.4</v>
      </c>
      <c r="L10" s="97">
        <f>'(HIDE) Data Validation'!V42</f>
        <v>48558.299999999996</v>
      </c>
      <c r="M10" s="97">
        <f>'(HIDE) Data Validation'!W42</f>
        <v>45537.299999999996</v>
      </c>
      <c r="N10" s="97">
        <f>'(HIDE) Data Validation'!X42</f>
        <v>46665.9</v>
      </c>
      <c r="O10" s="98">
        <f t="shared" si="0"/>
        <v>392416.5</v>
      </c>
    </row>
    <row r="11" spans="2:17" x14ac:dyDescent="0.2">
      <c r="B11" s="20" t="str">
        <f>"Cash Sales ("&amp;'(HIDE) Data Validation'!B41&amp;")"</f>
        <v>Cash Sales (Garlic Bread)</v>
      </c>
      <c r="C11" s="90">
        <f>'(HIDE) Data Validation'!M43</f>
        <v>0</v>
      </c>
      <c r="D11" s="90">
        <f>'(HIDE) Data Validation'!N43</f>
        <v>0</v>
      </c>
      <c r="E11" s="90">
        <f>'(HIDE) Data Validation'!O43</f>
        <v>0</v>
      </c>
      <c r="F11" s="90">
        <f>'(HIDE) Data Validation'!P43</f>
        <v>0</v>
      </c>
      <c r="G11" s="90">
        <f>'(HIDE) Data Validation'!Q43</f>
        <v>0</v>
      </c>
      <c r="H11" s="90">
        <f>'(HIDE) Data Validation'!R43</f>
        <v>0</v>
      </c>
      <c r="I11" s="90">
        <f>'(HIDE) Data Validation'!S43</f>
        <v>9758</v>
      </c>
      <c r="J11" s="90">
        <f>'(HIDE) Data Validation'!T43</f>
        <v>10273.199999999999</v>
      </c>
      <c r="K11" s="90">
        <f>'(HIDE) Data Validation'!U43</f>
        <v>11757.199999999999</v>
      </c>
      <c r="L11" s="90">
        <f>'(HIDE) Data Validation'!V43</f>
        <v>11026.4</v>
      </c>
      <c r="M11" s="90">
        <f>'(HIDE) Data Validation'!W43</f>
        <v>11300.8</v>
      </c>
      <c r="N11" s="90">
        <f>'(HIDE) Data Validation'!X43</f>
        <v>13826.4</v>
      </c>
      <c r="O11" s="91">
        <f t="shared" si="0"/>
        <v>67941.999999999985</v>
      </c>
    </row>
    <row r="12" spans="2:17" x14ac:dyDescent="0.2">
      <c r="B12" s="96" t="str">
        <f>"Credit Sales ("&amp;'(HIDE) Data Validation'!B41&amp;")"</f>
        <v>Credit Sales (Garlic Bread)</v>
      </c>
      <c r="C12" s="97">
        <f>'(HIDE) Data Validation'!M44</f>
        <v>0</v>
      </c>
      <c r="D12" s="97">
        <f>'(HIDE) Data Validation'!N44</f>
        <v>0</v>
      </c>
      <c r="E12" s="97">
        <f>'(HIDE) Data Validation'!O44</f>
        <v>0</v>
      </c>
      <c r="F12" s="97">
        <f>'(HIDE) Data Validation'!P44</f>
        <v>0</v>
      </c>
      <c r="G12" s="97">
        <f>'(HIDE) Data Validation'!Q44</f>
        <v>0</v>
      </c>
      <c r="H12" s="97">
        <f>'(HIDE) Data Validation'!R44</f>
        <v>0</v>
      </c>
      <c r="I12" s="97">
        <f>'(HIDE) Data Validation'!S44</f>
        <v>0</v>
      </c>
      <c r="J12" s="97">
        <f>'(HIDE) Data Validation'!T44</f>
        <v>4182</v>
      </c>
      <c r="K12" s="97">
        <f>'(HIDE) Data Validation'!U44</f>
        <v>4402.8</v>
      </c>
      <c r="L12" s="97">
        <f>'(HIDE) Data Validation'!V44</f>
        <v>5038.8</v>
      </c>
      <c r="M12" s="97">
        <f>'(HIDE) Data Validation'!W44</f>
        <v>4725.5999999999995</v>
      </c>
      <c r="N12" s="97">
        <f>'(HIDE) Data Validation'!X44</f>
        <v>4843.2</v>
      </c>
      <c r="O12" s="98">
        <f t="shared" si="0"/>
        <v>23192.399999999998</v>
      </c>
    </row>
    <row r="13" spans="2:17" s="5" customFormat="1" ht="16" x14ac:dyDescent="0.2">
      <c r="B13" s="21" t="s">
        <v>15</v>
      </c>
      <c r="C13" s="92">
        <f>SUM(C7:C12)</f>
        <v>175263.3</v>
      </c>
      <c r="D13" s="92">
        <f t="shared" ref="D13:N13" si="1">SUM(D7:D12)</f>
        <v>64064.2</v>
      </c>
      <c r="E13" s="92">
        <f t="shared" si="1"/>
        <v>80850.7</v>
      </c>
      <c r="F13" s="92">
        <f t="shared" si="1"/>
        <v>100074.9</v>
      </c>
      <c r="G13" s="92">
        <f t="shared" si="1"/>
        <v>112305.19999999998</v>
      </c>
      <c r="H13" s="92">
        <f t="shared" si="1"/>
        <v>131124.70000000001</v>
      </c>
      <c r="I13" s="92">
        <f t="shared" si="1"/>
        <v>145228</v>
      </c>
      <c r="J13" s="92">
        <f t="shared" si="1"/>
        <v>153732.79999999999</v>
      </c>
      <c r="K13" s="92">
        <f t="shared" si="1"/>
        <v>171882.1</v>
      </c>
      <c r="L13" s="92">
        <f t="shared" si="1"/>
        <v>170877.19999999998</v>
      </c>
      <c r="M13" s="92">
        <f t="shared" si="1"/>
        <v>170450.8</v>
      </c>
      <c r="N13" s="92">
        <f t="shared" si="1"/>
        <v>198561.6</v>
      </c>
      <c r="O13" s="92">
        <f>SUM(C13:N13)</f>
        <v>1674415.5000000002</v>
      </c>
    </row>
    <row r="14" spans="2:17" x14ac:dyDescent="0.2">
      <c r="B14" s="102"/>
      <c r="C14" s="97"/>
      <c r="D14" s="97"/>
      <c r="E14" s="97"/>
      <c r="F14" s="97"/>
      <c r="G14" s="97"/>
      <c r="H14" s="97"/>
      <c r="I14" s="97"/>
      <c r="J14" s="97"/>
      <c r="K14" s="97"/>
      <c r="L14" s="97"/>
      <c r="M14" s="97"/>
      <c r="N14" s="97"/>
      <c r="O14" s="98"/>
    </row>
    <row r="15" spans="2:17" ht="16" x14ac:dyDescent="0.2">
      <c r="B15" s="21" t="s">
        <v>16</v>
      </c>
      <c r="C15" s="90"/>
      <c r="D15" s="90"/>
      <c r="E15" s="90"/>
      <c r="F15" s="90"/>
      <c r="G15" s="90"/>
      <c r="H15" s="90"/>
      <c r="I15" s="90"/>
      <c r="J15" s="90"/>
      <c r="K15" s="90"/>
      <c r="L15" s="90"/>
      <c r="M15" s="90"/>
      <c r="N15" s="90"/>
      <c r="O15" s="91"/>
    </row>
    <row r="16" spans="2:17" x14ac:dyDescent="0.2">
      <c r="B16" s="96" t="s">
        <v>113</v>
      </c>
      <c r="C16" s="97">
        <f>'(HIDE) Data Validation'!B12</f>
        <v>120000</v>
      </c>
      <c r="D16" s="97"/>
      <c r="E16" s="97"/>
      <c r="F16" s="97"/>
      <c r="G16" s="97"/>
      <c r="H16" s="97"/>
      <c r="I16" s="97"/>
      <c r="J16" s="97"/>
      <c r="K16" s="97"/>
      <c r="L16" s="97"/>
      <c r="M16" s="97"/>
      <c r="N16" s="97"/>
      <c r="O16" s="98">
        <f t="shared" ref="O16:O29" si="2">SUM(C16:N16)</f>
        <v>120000</v>
      </c>
    </row>
    <row r="17" spans="2:15" x14ac:dyDescent="0.2">
      <c r="B17" s="20" t="str">
        <f>"Food Purchases ("&amp;'(HIDE) Data Validation'!A6&amp;")"</f>
        <v>Food Purchases (Pizzas)</v>
      </c>
      <c r="C17" s="90">
        <f>'(HIDE) Data Validation'!M18</f>
        <v>23005.514250000004</v>
      </c>
      <c r="D17" s="90">
        <f>'(HIDE) Data Validation'!N18</f>
        <v>26285.084250000004</v>
      </c>
      <c r="E17" s="90">
        <f>'(HIDE) Data Validation'!O18</f>
        <v>31840.274250000002</v>
      </c>
      <c r="F17" s="90">
        <f>'(HIDE) Data Validation'!P18</f>
        <v>38253.841500000002</v>
      </c>
      <c r="G17" s="90">
        <f>'(HIDE) Data Validation'!Q18</f>
        <v>42488.837249999997</v>
      </c>
      <c r="H17" s="90">
        <f>'(HIDE) Data Validation'!R18</f>
        <v>48323.460000000006</v>
      </c>
      <c r="I17" s="90">
        <f>'(HIDE) Data Validation'!S18</f>
        <v>47941.959000000003</v>
      </c>
      <c r="J17" s="90">
        <f>'(HIDE) Data Validation'!T18</f>
        <v>51611.396250000005</v>
      </c>
      <c r="K17" s="90">
        <f>'(HIDE) Data Validation'!U18</f>
        <v>56130.844499999999</v>
      </c>
      <c r="L17" s="90">
        <f>'(HIDE) Data Validation'!V18</f>
        <v>53801.680500000002</v>
      </c>
      <c r="M17" s="90">
        <f>'(HIDE) Data Validation'!W18</f>
        <v>57857.638500000001</v>
      </c>
      <c r="N17" s="90">
        <f>'(HIDE) Data Validation'!X18</f>
        <v>67279.70925</v>
      </c>
      <c r="O17" s="91">
        <f t="shared" si="2"/>
        <v>544820.23950000003</v>
      </c>
    </row>
    <row r="18" spans="2:15" x14ac:dyDescent="0.2">
      <c r="B18" s="96" t="str">
        <f>"Food Purchases ("&amp;'(HIDE) Data Validation'!B41&amp;")"</f>
        <v>Food Purchases (Garlic Bread)</v>
      </c>
      <c r="C18" s="97"/>
      <c r="D18" s="97"/>
      <c r="E18" s="97"/>
      <c r="F18" s="97"/>
      <c r="G18" s="97"/>
      <c r="H18" s="97"/>
      <c r="I18" s="97">
        <f>'(HIDE) Data Validation'!S39</f>
        <v>5282.7</v>
      </c>
      <c r="J18" s="97">
        <f>'(HIDE) Data Validation'!T39</f>
        <v>4561.8</v>
      </c>
      <c r="K18" s="97">
        <f>'(HIDE) Data Validation'!U39</f>
        <v>4960.5</v>
      </c>
      <c r="L18" s="97">
        <f>'(HIDE) Data Validation'!V39</f>
        <v>4755</v>
      </c>
      <c r="M18" s="97">
        <f>'(HIDE) Data Validation'!W39</f>
        <v>5113.7999999999993</v>
      </c>
      <c r="N18" s="97">
        <f>'(HIDE) Data Validation'!X39</f>
        <v>5946.2999999999993</v>
      </c>
      <c r="O18" s="98">
        <f t="shared" si="2"/>
        <v>30620.1</v>
      </c>
    </row>
    <row r="19" spans="2:15" x14ac:dyDescent="0.2">
      <c r="B19" s="20" t="s">
        <v>335</v>
      </c>
      <c r="C19" s="90">
        <f>'(HIDE) Data Validation'!M66</f>
        <v>190</v>
      </c>
      <c r="D19" s="90">
        <f>'(HIDE) Data Validation'!N66</f>
        <v>285</v>
      </c>
      <c r="E19" s="90">
        <f>'(HIDE) Data Validation'!O66</f>
        <v>340</v>
      </c>
      <c r="F19" s="90">
        <f>'(HIDE) Data Validation'!P66</f>
        <v>426</v>
      </c>
      <c r="G19" s="90">
        <f>'(HIDE) Data Validation'!Q66</f>
        <v>459</v>
      </c>
      <c r="H19" s="90">
        <f>'(HIDE) Data Validation'!R66</f>
        <v>553</v>
      </c>
      <c r="I19" s="90">
        <f>'(HIDE) Data Validation'!S66</f>
        <v>551</v>
      </c>
      <c r="J19" s="90">
        <f>'(HIDE) Data Validation'!T66</f>
        <v>580</v>
      </c>
      <c r="K19" s="90">
        <f>'(HIDE) Data Validation'!U66</f>
        <v>664</v>
      </c>
      <c r="L19" s="90">
        <f>'(HIDE) Data Validation'!V66</f>
        <v>623</v>
      </c>
      <c r="M19" s="90">
        <f>'(HIDE) Data Validation'!W66</f>
        <v>638</v>
      </c>
      <c r="N19" s="90">
        <f>'(HIDE) Data Validation'!X66</f>
        <v>781</v>
      </c>
      <c r="O19" s="91">
        <f t="shared" si="2"/>
        <v>6090</v>
      </c>
    </row>
    <row r="20" spans="2:15" x14ac:dyDescent="0.2">
      <c r="B20" s="96" t="s">
        <v>17</v>
      </c>
      <c r="C20" s="97">
        <f>'(HIDE) Data Validation'!$G$12</f>
        <v>7000</v>
      </c>
      <c r="D20" s="97">
        <f>'(HIDE) Data Validation'!$G$12</f>
        <v>7000</v>
      </c>
      <c r="E20" s="97">
        <f>'(HIDE) Data Validation'!$G$12</f>
        <v>7000</v>
      </c>
      <c r="F20" s="97">
        <f>'(HIDE) Data Validation'!$G$12</f>
        <v>7000</v>
      </c>
      <c r="G20" s="97">
        <f>'(HIDE) Data Validation'!$G$12</f>
        <v>7000</v>
      </c>
      <c r="H20" s="97">
        <f>'(HIDE) Data Validation'!$G$12</f>
        <v>7000</v>
      </c>
      <c r="I20" s="97">
        <f>'(HIDE) Data Validation'!$G$12</f>
        <v>7000</v>
      </c>
      <c r="J20" s="97">
        <f>'(HIDE) Data Validation'!$G$12</f>
        <v>7000</v>
      </c>
      <c r="K20" s="97">
        <f>'(HIDE) Data Validation'!$G$12</f>
        <v>7000</v>
      </c>
      <c r="L20" s="97">
        <f>'(HIDE) Data Validation'!$G$12</f>
        <v>7000</v>
      </c>
      <c r="M20" s="97">
        <f>'(HIDE) Data Validation'!$G$12</f>
        <v>7000</v>
      </c>
      <c r="N20" s="97">
        <f>'(HIDE) Data Validation'!$G$12</f>
        <v>7000</v>
      </c>
      <c r="O20" s="98">
        <f t="shared" si="2"/>
        <v>84000</v>
      </c>
    </row>
    <row r="21" spans="2:15" x14ac:dyDescent="0.2">
      <c r="B21" s="20" t="s">
        <v>18</v>
      </c>
      <c r="C21" s="90">
        <f>'(HIDE) Data Validation'!M23</f>
        <v>0</v>
      </c>
      <c r="D21" s="90">
        <f>'(HIDE) Data Validation'!N23</f>
        <v>2100</v>
      </c>
      <c r="E21" s="90">
        <f>'(HIDE) Data Validation'!O23</f>
        <v>2100</v>
      </c>
      <c r="F21" s="90">
        <f>'(HIDE) Data Validation'!P23</f>
        <v>2100</v>
      </c>
      <c r="G21" s="90">
        <f>'(HIDE) Data Validation'!Q23</f>
        <v>2100</v>
      </c>
      <c r="H21" s="90">
        <f>'(HIDE) Data Validation'!R23</f>
        <v>2100</v>
      </c>
      <c r="I21" s="90">
        <f>'(HIDE) Data Validation'!S23</f>
        <v>2100</v>
      </c>
      <c r="J21" s="90">
        <f>'(HIDE) Data Validation'!T23</f>
        <v>2100</v>
      </c>
      <c r="K21" s="90">
        <f>'(HIDE) Data Validation'!U23</f>
        <v>2100</v>
      </c>
      <c r="L21" s="90">
        <f>'(HIDE) Data Validation'!V23</f>
        <v>3200</v>
      </c>
      <c r="M21" s="90">
        <f>'(HIDE) Data Validation'!W23</f>
        <v>3200</v>
      </c>
      <c r="N21" s="90">
        <f>'(HIDE) Data Validation'!X23</f>
        <v>3200</v>
      </c>
      <c r="O21" s="91">
        <f t="shared" si="2"/>
        <v>26400</v>
      </c>
    </row>
    <row r="22" spans="2:15" x14ac:dyDescent="0.2">
      <c r="B22" s="96" t="s">
        <v>19</v>
      </c>
      <c r="C22" s="97">
        <v>300</v>
      </c>
      <c r="D22" s="97">
        <v>300</v>
      </c>
      <c r="E22" s="97">
        <v>300</v>
      </c>
      <c r="F22" s="97">
        <v>300</v>
      </c>
      <c r="G22" s="97">
        <v>300</v>
      </c>
      <c r="H22" s="97">
        <v>300</v>
      </c>
      <c r="I22" s="97">
        <v>300</v>
      </c>
      <c r="J22" s="97">
        <v>300</v>
      </c>
      <c r="K22" s="97">
        <v>300</v>
      </c>
      <c r="L22" s="97">
        <v>300</v>
      </c>
      <c r="M22" s="97">
        <v>300</v>
      </c>
      <c r="N22" s="97">
        <v>300</v>
      </c>
      <c r="O22" s="98">
        <f t="shared" si="2"/>
        <v>3600</v>
      </c>
    </row>
    <row r="23" spans="2:15" x14ac:dyDescent="0.2">
      <c r="B23" s="20" t="s">
        <v>29</v>
      </c>
      <c r="C23" s="90">
        <f>'(HIDE) Data Validation'!$I$2</f>
        <v>5000</v>
      </c>
      <c r="D23" s="90">
        <f>'(HIDE) Data Validation'!$I$2</f>
        <v>5000</v>
      </c>
      <c r="E23" s="90">
        <f>'(HIDE) Data Validation'!$I$2</f>
        <v>5000</v>
      </c>
      <c r="F23" s="90">
        <f>'(HIDE) Data Validation'!$I$2</f>
        <v>5000</v>
      </c>
      <c r="G23" s="90">
        <f>'(HIDE) Data Validation'!$I$2</f>
        <v>5000</v>
      </c>
      <c r="H23" s="90">
        <f>'(HIDE) Data Validation'!$I$2</f>
        <v>5000</v>
      </c>
      <c r="I23" s="90">
        <f>'(HIDE) Data Validation'!$I$2</f>
        <v>5000</v>
      </c>
      <c r="J23" s="90">
        <f>'(HIDE) Data Validation'!$I$2</f>
        <v>5000</v>
      </c>
      <c r="K23" s="90">
        <f>'(HIDE) Data Validation'!$I$2</f>
        <v>5000</v>
      </c>
      <c r="L23" s="90">
        <f>'(HIDE) Data Validation'!$I$2</f>
        <v>5000</v>
      </c>
      <c r="M23" s="90">
        <f>'(HIDE) Data Validation'!$I$2</f>
        <v>5000</v>
      </c>
      <c r="N23" s="90">
        <f>'(HIDE) Data Validation'!$I$2</f>
        <v>5000</v>
      </c>
      <c r="O23" s="91">
        <f t="shared" si="2"/>
        <v>60000</v>
      </c>
    </row>
    <row r="24" spans="2:15" x14ac:dyDescent="0.2">
      <c r="B24" s="96" t="s">
        <v>20</v>
      </c>
      <c r="C24" s="97">
        <v>6800</v>
      </c>
      <c r="D24" s="97">
        <v>6800</v>
      </c>
      <c r="E24" s="97">
        <v>6800</v>
      </c>
      <c r="F24" s="97">
        <v>6800</v>
      </c>
      <c r="G24" s="97">
        <v>6800</v>
      </c>
      <c r="H24" s="97">
        <v>6800</v>
      </c>
      <c r="I24" s="97">
        <v>6800</v>
      </c>
      <c r="J24" s="97">
        <v>6800</v>
      </c>
      <c r="K24" s="97">
        <v>6800</v>
      </c>
      <c r="L24" s="97">
        <v>6800</v>
      </c>
      <c r="M24" s="97">
        <v>6800</v>
      </c>
      <c r="N24" s="97">
        <v>6800</v>
      </c>
      <c r="O24" s="98">
        <f t="shared" si="2"/>
        <v>81600</v>
      </c>
    </row>
    <row r="25" spans="2:15" x14ac:dyDescent="0.2">
      <c r="B25" s="20" t="s">
        <v>21</v>
      </c>
      <c r="C25" s="90">
        <f>'(HIDE) Data Validation'!M16</f>
        <v>12800</v>
      </c>
      <c r="D25" s="90">
        <f>'(HIDE) Data Validation'!N16</f>
        <v>16000</v>
      </c>
      <c r="E25" s="90">
        <f>'(HIDE) Data Validation'!O16</f>
        <v>16000</v>
      </c>
      <c r="F25" s="90">
        <f>'(HIDE) Data Validation'!P16</f>
        <v>16000</v>
      </c>
      <c r="G25" s="90">
        <f>'(HIDE) Data Validation'!Q16</f>
        <v>19200</v>
      </c>
      <c r="H25" s="90">
        <f>'(HIDE) Data Validation'!R16</f>
        <v>19200</v>
      </c>
      <c r="I25" s="90">
        <f>'(HIDE) Data Validation'!S16</f>
        <v>25600</v>
      </c>
      <c r="J25" s="90">
        <f>'(HIDE) Data Validation'!T16</f>
        <v>25600</v>
      </c>
      <c r="K25" s="90">
        <f>'(HIDE) Data Validation'!U16</f>
        <v>25600</v>
      </c>
      <c r="L25" s="90">
        <f>'(HIDE) Data Validation'!V16</f>
        <v>25600</v>
      </c>
      <c r="M25" s="90">
        <f>'(HIDE) Data Validation'!W16</f>
        <v>25600</v>
      </c>
      <c r="N25" s="90">
        <f>'(HIDE) Data Validation'!X16</f>
        <v>28800</v>
      </c>
      <c r="O25" s="91">
        <f t="shared" si="2"/>
        <v>256000</v>
      </c>
    </row>
    <row r="26" spans="2:15" x14ac:dyDescent="0.2">
      <c r="B26" s="96" t="s">
        <v>22</v>
      </c>
      <c r="C26" s="97">
        <f>'(HIDE) Data Validation'!$B$30</f>
        <v>2679.72</v>
      </c>
      <c r="D26" s="97">
        <f>'(HIDE) Data Validation'!$B$30</f>
        <v>2679.72</v>
      </c>
      <c r="E26" s="97">
        <f>'(HIDE) Data Validation'!$B$30</f>
        <v>2679.72</v>
      </c>
      <c r="F26" s="97">
        <f>'(HIDE) Data Validation'!$B$30</f>
        <v>2679.72</v>
      </c>
      <c r="G26" s="97">
        <f>'(HIDE) Data Validation'!$B$30</f>
        <v>2679.72</v>
      </c>
      <c r="H26" s="97">
        <f>'(HIDE) Data Validation'!$B$30</f>
        <v>2679.72</v>
      </c>
      <c r="I26" s="97">
        <f>'(HIDE) Data Validation'!$B$30</f>
        <v>2679.72</v>
      </c>
      <c r="J26" s="97">
        <f>'(HIDE) Data Validation'!$B$30</f>
        <v>2679.72</v>
      </c>
      <c r="K26" s="97">
        <f>'(HIDE) Data Validation'!$B$30</f>
        <v>2679.72</v>
      </c>
      <c r="L26" s="97">
        <f>'(HIDE) Data Validation'!$B$30</f>
        <v>2679.72</v>
      </c>
      <c r="M26" s="97">
        <f>'(HIDE) Data Validation'!$B$30</f>
        <v>2679.72</v>
      </c>
      <c r="N26" s="97">
        <f>'(HIDE) Data Validation'!$B$30</f>
        <v>2679.72</v>
      </c>
      <c r="O26" s="98">
        <f t="shared" si="2"/>
        <v>32156.640000000003</v>
      </c>
    </row>
    <row r="27" spans="2:15" x14ac:dyDescent="0.2">
      <c r="B27" s="20" t="s">
        <v>23</v>
      </c>
      <c r="C27" s="90">
        <f>'(HIDE) Data Validation'!M35</f>
        <v>132000</v>
      </c>
      <c r="D27" s="90">
        <f>'(HIDE) Data Validation'!N35</f>
        <v>0</v>
      </c>
      <c r="E27" s="90">
        <f>'(HIDE) Data Validation'!O35</f>
        <v>0</v>
      </c>
      <c r="F27" s="90">
        <f>'(HIDE) Data Validation'!P35</f>
        <v>0</v>
      </c>
      <c r="G27" s="90">
        <f>'(HIDE) Data Validation'!Q35</f>
        <v>0</v>
      </c>
      <c r="H27" s="90">
        <f>'(HIDE) Data Validation'!R35</f>
        <v>0</v>
      </c>
      <c r="I27" s="90">
        <f>'(HIDE) Data Validation'!S35</f>
        <v>600</v>
      </c>
      <c r="J27" s="90">
        <f>'(HIDE) Data Validation'!T35</f>
        <v>0</v>
      </c>
      <c r="K27" s="90">
        <f>'(HIDE) Data Validation'!U35</f>
        <v>32600</v>
      </c>
      <c r="L27" s="90">
        <f>'(HIDE) Data Validation'!V35</f>
        <v>0</v>
      </c>
      <c r="M27" s="90">
        <f>'(HIDE) Data Validation'!W35</f>
        <v>0</v>
      </c>
      <c r="N27" s="90">
        <f>'(HIDE) Data Validation'!X35</f>
        <v>0</v>
      </c>
      <c r="O27" s="91">
        <f t="shared" si="2"/>
        <v>165200</v>
      </c>
    </row>
    <row r="28" spans="2:15" x14ac:dyDescent="0.2">
      <c r="B28" s="96" t="s">
        <v>160</v>
      </c>
      <c r="C28" s="97" t="str">
        <f>'(HIDE) Data Validation'!$B$15</f>
        <v/>
      </c>
      <c r="D28" s="97" t="str">
        <f>'(HIDE) Data Validation'!$B$15</f>
        <v/>
      </c>
      <c r="E28" s="97" t="str">
        <f>'(HIDE) Data Validation'!$B$15</f>
        <v/>
      </c>
      <c r="F28" s="97" t="str">
        <f>'(HIDE) Data Validation'!$B$15</f>
        <v/>
      </c>
      <c r="G28" s="97" t="str">
        <f>'(HIDE) Data Validation'!$B$15</f>
        <v/>
      </c>
      <c r="H28" s="97" t="str">
        <f>'(HIDE) Data Validation'!$B$15</f>
        <v/>
      </c>
      <c r="I28" s="97" t="str">
        <f>'(HIDE) Data Validation'!$B$15</f>
        <v/>
      </c>
      <c r="J28" s="97" t="str">
        <f>'(HIDE) Data Validation'!$B$15</f>
        <v/>
      </c>
      <c r="K28" s="97" t="str">
        <f>'(HIDE) Data Validation'!$B$15</f>
        <v/>
      </c>
      <c r="L28" s="97" t="str">
        <f>'(HIDE) Data Validation'!$B$15</f>
        <v/>
      </c>
      <c r="M28" s="97" t="str">
        <f>'(HIDE) Data Validation'!$B$15</f>
        <v/>
      </c>
      <c r="N28" s="97" t="str">
        <f>'(HIDE) Data Validation'!$B$15</f>
        <v/>
      </c>
      <c r="O28" s="98">
        <f t="shared" si="2"/>
        <v>0</v>
      </c>
    </row>
    <row r="29" spans="2:15" x14ac:dyDescent="0.2">
      <c r="B29" s="20" t="str">
        <f>'(HIDE) Data Validation'!J53</f>
        <v>Delivery App Usage Expenses</v>
      </c>
      <c r="C29" s="90">
        <f>'(HIDE) Data Validation'!M64</f>
        <v>2375.9500000000003</v>
      </c>
      <c r="D29" s="90">
        <f>'(HIDE) Data Validation'!N64</f>
        <v>3557.75</v>
      </c>
      <c r="E29" s="90">
        <f>'(HIDE) Data Validation'!O64</f>
        <v>4250.3</v>
      </c>
      <c r="F29" s="90">
        <f>'(HIDE) Data Validation'!P64</f>
        <v>5326.6500000000005</v>
      </c>
      <c r="G29" s="90">
        <f>'(HIDE) Data Validation'!Q64</f>
        <v>5738.9500000000007</v>
      </c>
      <c r="H29" s="90">
        <f>'(HIDE) Data Validation'!R64</f>
        <v>6906.5</v>
      </c>
      <c r="I29" s="90">
        <f>'(HIDE) Data Validation'!S64</f>
        <v>6890.75</v>
      </c>
      <c r="J29" s="90">
        <f>'(HIDE) Data Validation'!T64</f>
        <v>7253.35</v>
      </c>
      <c r="K29" s="90">
        <f>'(HIDE) Data Validation'!U64</f>
        <v>8303</v>
      </c>
      <c r="L29" s="90">
        <f>'(HIDE) Data Validation'!V64</f>
        <v>7786.4500000000007</v>
      </c>
      <c r="M29" s="90">
        <f>'(HIDE) Data Validation'!W64</f>
        <v>7979.4500000000007</v>
      </c>
      <c r="N29" s="90">
        <f>'(HIDE) Data Validation'!X64</f>
        <v>9763.0500000000011</v>
      </c>
      <c r="O29" s="91">
        <f t="shared" si="2"/>
        <v>76132.150000000009</v>
      </c>
    </row>
    <row r="30" spans="2:15" s="5" customFormat="1" ht="16" x14ac:dyDescent="0.2">
      <c r="B30" s="99" t="s">
        <v>24</v>
      </c>
      <c r="C30" s="100">
        <f>SUM(C16:C29)</f>
        <v>312151.18424999999</v>
      </c>
      <c r="D30" s="100">
        <f t="shared" ref="D30:N30" si="3">SUM(D16:D29)</f>
        <v>70007.554250000001</v>
      </c>
      <c r="E30" s="100">
        <f t="shared" si="3"/>
        <v>76310.294250000006</v>
      </c>
      <c r="F30" s="100">
        <f t="shared" si="3"/>
        <v>83886.211500000005</v>
      </c>
      <c r="G30" s="100">
        <f t="shared" si="3"/>
        <v>91766.507249999995</v>
      </c>
      <c r="H30" s="100">
        <f t="shared" si="3"/>
        <v>98862.680000000008</v>
      </c>
      <c r="I30" s="100">
        <f t="shared" si="3"/>
        <v>110746.129</v>
      </c>
      <c r="J30" s="100">
        <f t="shared" si="3"/>
        <v>113486.26625000002</v>
      </c>
      <c r="K30" s="100">
        <f t="shared" si="3"/>
        <v>152138.06450000001</v>
      </c>
      <c r="L30" s="100">
        <f t="shared" si="3"/>
        <v>117545.8505</v>
      </c>
      <c r="M30" s="100">
        <f t="shared" si="3"/>
        <v>122168.6085</v>
      </c>
      <c r="N30" s="100">
        <f t="shared" si="3"/>
        <v>137549.77924999999</v>
      </c>
      <c r="O30" s="100">
        <f>SUM(C30:N30)</f>
        <v>1486619.1295</v>
      </c>
    </row>
    <row r="31" spans="2:15" x14ac:dyDescent="0.2">
      <c r="B31" s="9"/>
      <c r="C31" s="90"/>
      <c r="D31" s="90"/>
      <c r="E31" s="90"/>
      <c r="F31" s="90"/>
      <c r="G31" s="90"/>
      <c r="H31" s="90"/>
      <c r="I31" s="90"/>
      <c r="J31" s="90"/>
      <c r="K31" s="90"/>
      <c r="L31" s="90"/>
      <c r="M31" s="90"/>
      <c r="N31" s="90"/>
      <c r="O31" s="91"/>
    </row>
    <row r="32" spans="2:15" x14ac:dyDescent="0.2">
      <c r="B32" s="108" t="s">
        <v>25</v>
      </c>
      <c r="C32" s="97">
        <f>C13-C30</f>
        <v>-136887.88425</v>
      </c>
      <c r="D32" s="97">
        <f t="shared" ref="D32:N32" si="4">D13-D30</f>
        <v>-5943.354250000004</v>
      </c>
      <c r="E32" s="97">
        <f t="shared" si="4"/>
        <v>4540.4057499999908</v>
      </c>
      <c r="F32" s="97">
        <f t="shared" si="4"/>
        <v>16188.688499999989</v>
      </c>
      <c r="G32" s="97">
        <f t="shared" si="4"/>
        <v>20538.692749999987</v>
      </c>
      <c r="H32" s="97">
        <f t="shared" si="4"/>
        <v>32262.020000000004</v>
      </c>
      <c r="I32" s="97">
        <f t="shared" si="4"/>
        <v>34481.870999999999</v>
      </c>
      <c r="J32" s="97">
        <f t="shared" si="4"/>
        <v>40246.533749999973</v>
      </c>
      <c r="K32" s="97">
        <f t="shared" si="4"/>
        <v>19744.035499999998</v>
      </c>
      <c r="L32" s="97">
        <f t="shared" si="4"/>
        <v>53331.349499999982</v>
      </c>
      <c r="M32" s="97">
        <f t="shared" si="4"/>
        <v>48282.191499999986</v>
      </c>
      <c r="N32" s="97">
        <f t="shared" si="4"/>
        <v>61011.820750000014</v>
      </c>
      <c r="O32" s="98">
        <f>SUM(C32:N32)</f>
        <v>187796.37049999993</v>
      </c>
    </row>
    <row r="33" spans="2:15" x14ac:dyDescent="0.2">
      <c r="B33" s="9"/>
      <c r="C33" s="90"/>
      <c r="D33" s="90"/>
      <c r="E33" s="90"/>
      <c r="F33" s="90"/>
      <c r="G33" s="90"/>
      <c r="H33" s="90"/>
      <c r="I33" s="90"/>
      <c r="J33" s="90"/>
      <c r="K33" s="90"/>
      <c r="L33" s="90"/>
      <c r="M33" s="90"/>
      <c r="N33" s="90"/>
      <c r="O33" s="91"/>
    </row>
    <row r="34" spans="2:15" x14ac:dyDescent="0.2">
      <c r="B34" s="102" t="s">
        <v>26</v>
      </c>
      <c r="C34" s="97">
        <f>'(HIDE) Data Validation'!C18</f>
        <v>150000</v>
      </c>
      <c r="D34" s="97">
        <f>C36</f>
        <v>13112.115749999997</v>
      </c>
      <c r="E34" s="97">
        <f t="shared" ref="E34:N34" si="5">D36</f>
        <v>7168.7614999999932</v>
      </c>
      <c r="F34" s="97">
        <f t="shared" si="5"/>
        <v>11709.167249999984</v>
      </c>
      <c r="G34" s="97">
        <f t="shared" si="5"/>
        <v>27897.855749999973</v>
      </c>
      <c r="H34" s="97">
        <f t="shared" si="5"/>
        <v>48436.548499999961</v>
      </c>
      <c r="I34" s="97">
        <f t="shared" si="5"/>
        <v>80698.568499999965</v>
      </c>
      <c r="J34" s="97">
        <f t="shared" si="5"/>
        <v>115180.43949999996</v>
      </c>
      <c r="K34" s="97">
        <f t="shared" si="5"/>
        <v>155426.97324999992</v>
      </c>
      <c r="L34" s="97">
        <f t="shared" si="5"/>
        <v>175171.00874999992</v>
      </c>
      <c r="M34" s="97">
        <f t="shared" si="5"/>
        <v>228502.3582499999</v>
      </c>
      <c r="N34" s="97">
        <f t="shared" si="5"/>
        <v>276784.54974999989</v>
      </c>
      <c r="O34" s="98">
        <f>C34</f>
        <v>150000</v>
      </c>
    </row>
    <row r="35" spans="2:15" x14ac:dyDescent="0.2">
      <c r="B35" s="9"/>
      <c r="C35" s="90"/>
      <c r="D35" s="90"/>
      <c r="E35" s="90"/>
      <c r="F35" s="90"/>
      <c r="G35" s="90"/>
      <c r="H35" s="90"/>
      <c r="I35" s="90"/>
      <c r="J35" s="90"/>
      <c r="K35" s="90"/>
      <c r="L35" s="90"/>
      <c r="M35" s="90"/>
      <c r="N35" s="90"/>
      <c r="O35" s="91"/>
    </row>
    <row r="36" spans="2:15" x14ac:dyDescent="0.2">
      <c r="B36" s="109" t="s">
        <v>27</v>
      </c>
      <c r="C36" s="110">
        <f>C34+C32</f>
        <v>13112.115749999997</v>
      </c>
      <c r="D36" s="110">
        <f t="shared" ref="D36:N36" si="6">D34+D32</f>
        <v>7168.7614999999932</v>
      </c>
      <c r="E36" s="110">
        <f t="shared" si="6"/>
        <v>11709.167249999984</v>
      </c>
      <c r="F36" s="110">
        <f t="shared" si="6"/>
        <v>27897.855749999973</v>
      </c>
      <c r="G36" s="110">
        <f t="shared" si="6"/>
        <v>48436.548499999961</v>
      </c>
      <c r="H36" s="110">
        <f t="shared" si="6"/>
        <v>80698.568499999965</v>
      </c>
      <c r="I36" s="110">
        <f t="shared" si="6"/>
        <v>115180.43949999996</v>
      </c>
      <c r="J36" s="110">
        <f t="shared" si="6"/>
        <v>155426.97324999992</v>
      </c>
      <c r="K36" s="110">
        <f t="shared" si="6"/>
        <v>175171.00874999992</v>
      </c>
      <c r="L36" s="110">
        <f t="shared" si="6"/>
        <v>228502.3582499999</v>
      </c>
      <c r="M36" s="110">
        <f t="shared" si="6"/>
        <v>276784.54974999989</v>
      </c>
      <c r="N36" s="110">
        <f t="shared" si="6"/>
        <v>337796.3704999999</v>
      </c>
      <c r="O36" s="111">
        <f>N36</f>
        <v>337796.3704999999</v>
      </c>
    </row>
    <row r="38" spans="2:15" ht="26" x14ac:dyDescent="0.3">
      <c r="C38" s="16"/>
      <c r="D38" s="18" t="str">
        <f>IF('(HIDE) Data Validation'!B25=0,"","YOU HAVE NOT YET RAISED ENOUGH CAPITAL. YOU STILL NEED $"&amp;TEXT('(HIDE) Data Validation'!B25,"#,##0;;@"))</f>
        <v/>
      </c>
    </row>
  </sheetData>
  <sheetProtection password="DBEB" sheet="1" objects="1" scenarios="1" formatColumns="0" formatRows="0" selectLockedCells="1"/>
  <mergeCells count="3">
    <mergeCell ref="B1:O1"/>
    <mergeCell ref="B2:O2"/>
    <mergeCell ref="B3:O3"/>
  </mergeCells>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Student Details I</vt:lpstr>
      <vt:lpstr>Student Details II</vt:lpstr>
      <vt:lpstr>Business Setup</vt:lpstr>
      <vt:lpstr>Business Decisions</vt:lpstr>
      <vt:lpstr>Capital Investments</vt:lpstr>
      <vt:lpstr>Financing</vt:lpstr>
      <vt:lpstr>2019 Preliminary Cash Budget</vt:lpstr>
      <vt:lpstr>Diversification</vt:lpstr>
      <vt:lpstr>2019 Full Year Cash Budget</vt:lpstr>
      <vt:lpstr>2019 Inventory Reports</vt:lpstr>
      <vt:lpstr>2019 Income Statement</vt:lpstr>
      <vt:lpstr>2019 Balance Sheet</vt:lpstr>
      <vt:lpstr>2019 Ratio Analysis</vt:lpstr>
      <vt:lpstr>(HIDE) Data Validation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Wahseem Soobratty</dc:creator>
  <cp:lastModifiedBy>Microsoft Office User</cp:lastModifiedBy>
  <dcterms:created xsi:type="dcterms:W3CDTF">2020-03-30T01:25:59Z</dcterms:created>
  <dcterms:modified xsi:type="dcterms:W3CDTF">2023-04-22T01:47:57Z</dcterms:modified>
</cp:coreProperties>
</file>